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6" rupBuild="17329"/>
  <workbookPr/>
  <mc:AlternateContent xmlns:mc="http://schemas.openxmlformats.org/markup-compatibility/2006">
    <mc:Choice Requires="x15">
      <x15ac:absPath xmlns:x15ac="http://schemas.microsoft.com/office/spreadsheetml/2010/11/ac" url="T:\Climate Change\Operations_Portfolio\CCGCF\FMT\Forest Carbon Partnership Facility\REDD Country Participants\Ghana\ERPD May 2017\Supporting Documentation Budget\"/>
    </mc:Choice>
  </mc:AlternateContent>
  <bookViews>
    <workbookView xWindow="0" yWindow="0" windowWidth="12780" windowHeight="3530"/>
  </bookViews>
  <sheets>
    <sheet name="Discounted cash flows " sheetId="2" r:id="rId1"/>
    <sheet name="Sheet1" sheetId="3" r:id="rId2"/>
  </sheets>
  <calcPr calcId="171027"/>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0" i="2" l="1"/>
  <c r="E100" i="2"/>
  <c r="D100" i="2"/>
  <c r="C100" i="2"/>
  <c r="B100" i="2"/>
  <c r="F81" i="2"/>
  <c r="E81" i="2"/>
  <c r="D81" i="2"/>
  <c r="C81" i="2"/>
  <c r="B81" i="2"/>
  <c r="F62" i="2"/>
  <c r="E62" i="2"/>
  <c r="E64" i="2" s="1"/>
  <c r="D62" i="2"/>
  <c r="C62" i="2"/>
  <c r="B62" i="2"/>
  <c r="F24" i="2"/>
  <c r="E24" i="2"/>
  <c r="D24" i="2"/>
  <c r="C24" i="2"/>
  <c r="B24" i="2"/>
  <c r="B26" i="2" s="1"/>
  <c r="F43" i="2"/>
  <c r="F45" i="2" s="1"/>
  <c r="E43" i="2"/>
  <c r="E45" i="2" s="1"/>
  <c r="D43" i="2"/>
  <c r="C43" i="2"/>
  <c r="B43" i="2"/>
  <c r="B45" i="2" s="1"/>
  <c r="F102" i="2"/>
  <c r="E102" i="2"/>
  <c r="D102" i="2"/>
  <c r="C102" i="2"/>
  <c r="B102" i="2"/>
  <c r="E83" i="2"/>
  <c r="C83" i="2"/>
  <c r="F83" i="2"/>
  <c r="D83" i="2"/>
  <c r="B83" i="2"/>
  <c r="C64" i="2"/>
  <c r="F64" i="2"/>
  <c r="D64" i="2"/>
  <c r="B64" i="2"/>
  <c r="D45" i="2"/>
  <c r="C45" i="2"/>
  <c r="F26" i="2"/>
  <c r="E26" i="2"/>
  <c r="D26" i="2"/>
  <c r="C26" i="2"/>
  <c r="H9" i="2" l="1"/>
  <c r="G25" i="2" l="1"/>
  <c r="B95" i="2" l="1"/>
  <c r="B76" i="2"/>
  <c r="B57" i="2"/>
  <c r="B60" i="2" s="1"/>
  <c r="B66" i="2" s="1"/>
  <c r="B38" i="2"/>
  <c r="B41" i="2" s="1"/>
  <c r="B47" i="2" s="1"/>
  <c r="B19" i="2"/>
  <c r="C19" i="2" s="1"/>
  <c r="B8" i="2"/>
  <c r="B6" i="2"/>
  <c r="C96" i="2" l="1"/>
  <c r="F77" i="2"/>
  <c r="F39" i="2"/>
  <c r="F96" i="2"/>
  <c r="C77" i="2"/>
  <c r="F58" i="2"/>
  <c r="C39" i="2"/>
  <c r="D39" i="2"/>
  <c r="C58" i="2"/>
  <c r="F20" i="2"/>
  <c r="C20" i="2"/>
  <c r="E39" i="2"/>
  <c r="C59" i="2"/>
  <c r="C21" i="2"/>
  <c r="F21" i="2"/>
  <c r="F97" i="2"/>
  <c r="F78" i="2"/>
  <c r="C97" i="2"/>
  <c r="C78" i="2"/>
  <c r="F59" i="2"/>
  <c r="F40" i="2"/>
  <c r="E40" i="2"/>
  <c r="D78" i="2"/>
  <c r="E78" i="2" s="1"/>
  <c r="C40" i="2"/>
  <c r="D40" i="2"/>
  <c r="D58" i="2"/>
  <c r="E58" i="2" s="1"/>
  <c r="D77" i="2"/>
  <c r="E77" i="2" s="1"/>
  <c r="D97" i="2"/>
  <c r="E97" i="2" s="1"/>
  <c r="D21" i="2"/>
  <c r="E21" i="2" s="1"/>
  <c r="D20" i="2"/>
  <c r="E20" i="2" s="1"/>
  <c r="C57" i="2"/>
  <c r="D59" i="2"/>
  <c r="E59" i="2" s="1"/>
  <c r="D96" i="2"/>
  <c r="E96" i="2" s="1"/>
  <c r="C98" i="2"/>
  <c r="C104" i="2" s="1"/>
  <c r="C95" i="2"/>
  <c r="B98" i="2"/>
  <c r="B104" i="2" s="1"/>
  <c r="D95" i="2"/>
  <c r="C76" i="2"/>
  <c r="B79" i="2"/>
  <c r="B85" i="2" s="1"/>
  <c r="D76" i="2"/>
  <c r="D57" i="2"/>
  <c r="D38" i="2"/>
  <c r="C38" i="2"/>
  <c r="B22" i="2"/>
  <c r="B28" i="2" s="1"/>
  <c r="D19" i="2"/>
  <c r="C22" i="2"/>
  <c r="C28" i="2" s="1"/>
  <c r="C41" i="2" l="1"/>
  <c r="C47" i="2" s="1"/>
  <c r="C60" i="2"/>
  <c r="C66" i="2" s="1"/>
  <c r="C79" i="2"/>
  <c r="C85" i="2" s="1"/>
  <c r="D98" i="2"/>
  <c r="D104" i="2" s="1"/>
  <c r="E95" i="2"/>
  <c r="D79" i="2"/>
  <c r="D85" i="2" s="1"/>
  <c r="E76" i="2"/>
  <c r="D60" i="2"/>
  <c r="D66" i="2" s="1"/>
  <c r="E57" i="2"/>
  <c r="D41" i="2"/>
  <c r="D47" i="2" s="1"/>
  <c r="E38" i="2"/>
  <c r="E19" i="2"/>
  <c r="D22" i="2"/>
  <c r="D28" i="2" s="1"/>
  <c r="F95" i="2" l="1"/>
  <c r="F98" i="2" s="1"/>
  <c r="F104" i="2" s="1"/>
  <c r="E98" i="2"/>
  <c r="E104" i="2" s="1"/>
  <c r="E79" i="2"/>
  <c r="E85" i="2" s="1"/>
  <c r="F76" i="2"/>
  <c r="F79" i="2" s="1"/>
  <c r="F85" i="2" s="1"/>
  <c r="E60" i="2"/>
  <c r="E66" i="2" s="1"/>
  <c r="F57" i="2"/>
  <c r="F60" i="2" s="1"/>
  <c r="F66" i="2" s="1"/>
  <c r="B67" i="2" s="1"/>
  <c r="E41" i="2"/>
  <c r="E47" i="2" s="1"/>
  <c r="B48" i="2" s="1"/>
  <c r="F38" i="2"/>
  <c r="F41" i="2" s="1"/>
  <c r="F47" i="2" s="1"/>
  <c r="F19" i="2"/>
  <c r="F22" i="2" s="1"/>
  <c r="F28" i="2" s="1"/>
  <c r="E22" i="2"/>
  <c r="E28" i="2" s="1"/>
  <c r="B89" i="2" l="1"/>
  <c r="B70" i="2"/>
  <c r="B107" i="2"/>
  <c r="B105" i="2"/>
  <c r="B106" i="2"/>
  <c r="B108" i="2"/>
  <c r="B87" i="2"/>
  <c r="B88" i="2"/>
  <c r="B86" i="2"/>
  <c r="B68" i="2"/>
  <c r="B69" i="2"/>
  <c r="B51" i="2"/>
  <c r="B50" i="2"/>
  <c r="B49" i="2"/>
  <c r="B30" i="2"/>
  <c r="B32" i="2"/>
  <c r="B31" i="2"/>
</calcChain>
</file>

<file path=xl/sharedStrings.xml><?xml version="1.0" encoding="utf-8"?>
<sst xmlns="http://schemas.openxmlformats.org/spreadsheetml/2006/main" count="113" uniqueCount="48">
  <si>
    <t>Assumptions</t>
  </si>
  <si>
    <t>Productivity</t>
  </si>
  <si>
    <t>kg/hectare</t>
  </si>
  <si>
    <t>USD/kg</t>
  </si>
  <si>
    <t>Hectares in programme</t>
  </si>
  <si>
    <t>hecatres</t>
  </si>
  <si>
    <t>Carbon price</t>
  </si>
  <si>
    <t>USD/tonne</t>
  </si>
  <si>
    <t>Estimated Ers</t>
  </si>
  <si>
    <t>tonnes/year</t>
  </si>
  <si>
    <t>Year</t>
  </si>
  <si>
    <t>Revenue</t>
  </si>
  <si>
    <t>Total Revenue</t>
  </si>
  <si>
    <t>Net flows</t>
  </si>
  <si>
    <t>IRR</t>
  </si>
  <si>
    <t>@20%</t>
  </si>
  <si>
    <t>@30%</t>
  </si>
  <si>
    <t>GHC/kg</t>
  </si>
  <si>
    <t>Exchange rate</t>
  </si>
  <si>
    <t>GHC/USD</t>
  </si>
  <si>
    <t>Increase yield farmers</t>
  </si>
  <si>
    <t>GHC/tonne</t>
  </si>
  <si>
    <t>Increase yield to Cocoa Board</t>
  </si>
  <si>
    <t>Current Productivity</t>
  </si>
  <si>
    <t xml:space="preserve">Productivity (kg/hectare) = </t>
  </si>
  <si>
    <t>NPV* @ 10%</t>
  </si>
  <si>
    <t>*The % are an expected rate of return from an investment perspective</t>
  </si>
  <si>
    <t>N/A - negative return</t>
  </si>
  <si>
    <t xml:space="preserve">The makes financial sense. If the project can realize a doubling of yield then it will realize sign benefits to farmers and to the cocoa board, plus the ERs. Good for cocoa farmers, gov and our planet in financial terms. Very preliminary sensitively analysis shows that: </t>
  </si>
  <si>
    <t>need climate finane because CSC</t>
  </si>
  <si>
    <t>CRITICAL TO GETTING CLIMATE ISSUES INTO THE PROGRAMME</t>
  </si>
  <si>
    <t>Not critical to cocoa but critical to the programme</t>
  </si>
  <si>
    <t>Emissions reductions ($5/tonne)</t>
  </si>
  <si>
    <t>GHC/ ha</t>
  </si>
  <si>
    <t>Cost of programme implementation</t>
  </si>
  <si>
    <t>Total Programme Expenditure</t>
  </si>
  <si>
    <t>Production costs (labour, inputs etc. incured partly by farmer and cocobod)</t>
  </si>
  <si>
    <r>
      <t>effectiveness (Increase in yields)</t>
    </r>
    <r>
      <rPr>
        <vertAlign val="superscript"/>
        <sz val="11"/>
        <color theme="1"/>
        <rFont val="Calibri"/>
        <family val="2"/>
        <scheme val="minor"/>
      </rPr>
      <t>1</t>
    </r>
  </si>
  <si>
    <t>1 effectiveness denotes the proportion of the programme area which is expected to achieve yield increment</t>
  </si>
  <si>
    <t>25% achieved in year 2, 50% in years 3 and 4, 75% in year 5</t>
  </si>
  <si>
    <r>
      <t>Farmgate Cocoa price</t>
    </r>
    <r>
      <rPr>
        <vertAlign val="superscript"/>
        <sz val="11"/>
        <color theme="1"/>
        <rFont val="Calibri"/>
        <family val="2"/>
        <scheme val="minor"/>
      </rPr>
      <t>2</t>
    </r>
  </si>
  <si>
    <t xml:space="preserve">2 the current farmgate price for cocoa in Ghana. The price was set in October, 2016. </t>
  </si>
  <si>
    <r>
      <t>World Cocoa Price</t>
    </r>
    <r>
      <rPr>
        <vertAlign val="superscript"/>
        <sz val="11"/>
        <color theme="1"/>
        <rFont val="Calibri"/>
        <family val="2"/>
        <scheme val="minor"/>
      </rPr>
      <t>3</t>
    </r>
  </si>
  <si>
    <r>
      <t>% World price to Cocoa Board</t>
    </r>
    <r>
      <rPr>
        <vertAlign val="superscript"/>
        <sz val="11"/>
        <color theme="1"/>
        <rFont val="Calibri"/>
        <family val="2"/>
        <scheme val="minor"/>
      </rPr>
      <t>4</t>
    </r>
  </si>
  <si>
    <r>
      <t>Production costs (labour, inputs etc.incured partially by farmer and Cocobod)</t>
    </r>
    <r>
      <rPr>
        <vertAlign val="superscript"/>
        <sz val="11"/>
        <color theme="1"/>
        <rFont val="Calibri"/>
        <family val="2"/>
        <scheme val="minor"/>
      </rPr>
      <t>5</t>
    </r>
  </si>
  <si>
    <t>5 Based on expert judgement and literature, this figure represents the additional costs to be borne by farmers/ COCOBOD on labour, inputs etc. required for the transition to CSC production</t>
  </si>
  <si>
    <t>4 Government/ COCOBOD retain about 30% of the world cocoa price for various regulatory functions/ export levy. The farmgate price payable to the farmer is therefore about 70% of the world price</t>
  </si>
  <si>
    <t>3 To ensure consistency with the farmgate price, the world cocoa price in October, 2016 was used for the analysis. This price is also approximately the average monthly world cocoa price from October, 2011 to date.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</si>
</sst>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6" formatCode="&quot;$&quot;#,##0_);[Red]\(&quot;$&quot;#,##0\)"/>
    <numFmt numFmtId="44" formatCode="_(&quot;$&quot;* #,##0.00_);_(&quot;$&quot;* \(#,##0.00\);_(&quot;$&quot;* &quot;-&quot;??_);_(@_)"/>
    <numFmt numFmtId="43" formatCode="_(* #,##0.00_);_(* \(#,##0.00\);_(* &quot;-&quot;??_);_(@_)"/>
    <numFmt numFmtId="164" formatCode="#,##0.000_);[Red]\(#,##0.000\)"/>
    <numFmt numFmtId="165" formatCode="_(&quot;$&quot;* #,##0_);_(&quot;$&quot;* \(#,##0\);_(&quot;$&quot;* &quot;-&quot;??_);_(@_)"/>
    <numFmt numFmtId="166" formatCode="_(* #,##0_);_(* \(#,##0\);_(* &quot;-&quot;??_);_(@_)"/>
  </numFmts>
  <fonts count="8" x14ac:knownFonts="1">
    <font>
      <sz val="11"/>
      <color theme="1"/>
      <name val="Calibri"/>
      <family val="2"/>
      <scheme val="minor"/>
    </font>
    <font>
      <b/>
      <sz val="11"/>
      <color theme="0"/>
      <name val="Calibri"/>
      <family val="2"/>
      <scheme val="minor"/>
    </font>
    <font>
      <b/>
      <sz val="11"/>
      <color theme="1"/>
      <name val="Calibri"/>
      <family val="2"/>
      <scheme val="minor"/>
    </font>
    <font>
      <sz val="11"/>
      <color theme="0"/>
      <name val="Calibri"/>
      <family val="2"/>
      <scheme val="minor"/>
    </font>
    <font>
      <sz val="11"/>
      <color theme="1"/>
      <name val="Calibri"/>
      <family val="2"/>
      <scheme val="minor"/>
    </font>
    <font>
      <sz val="9"/>
      <color theme="1"/>
      <name val="Calibri"/>
      <family val="2"/>
      <scheme val="minor"/>
    </font>
    <font>
      <sz val="11"/>
      <color rgb="FFFF0000"/>
      <name val="Calibri"/>
      <family val="2"/>
      <scheme val="minor"/>
    </font>
    <font>
      <vertAlign val="superscript"/>
      <sz val="11"/>
      <color theme="1"/>
      <name val="Calibri"/>
      <family val="2"/>
      <scheme val="minor"/>
    </font>
  </fonts>
  <fills count="3">
    <fill>
      <patternFill patternType="none"/>
    </fill>
    <fill>
      <patternFill patternType="gray125"/>
    </fill>
    <fill>
      <patternFill patternType="solid">
        <fgColor theme="4" tint="-0.499984740745262"/>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3">
    <xf numFmtId="0" fontId="0" fillId="0" borderId="0"/>
    <xf numFmtId="44" fontId="4" fillId="0" borderId="0" applyFont="0" applyFill="0" applyBorder="0" applyAlignment="0" applyProtection="0"/>
    <xf numFmtId="43" fontId="4" fillId="0" borderId="0" applyFont="0" applyFill="0" applyBorder="0" applyAlignment="0" applyProtection="0"/>
  </cellStyleXfs>
  <cellXfs count="23">
    <xf numFmtId="0" fontId="0" fillId="0" borderId="0" xfId="0"/>
    <xf numFmtId="6" fontId="0" fillId="0" borderId="0" xfId="0" applyNumberFormat="1"/>
    <xf numFmtId="0" fontId="1" fillId="2" borderId="1" xfId="0" applyFont="1" applyFill="1" applyBorder="1"/>
    <xf numFmtId="0" fontId="3" fillId="2" borderId="1" xfId="0" applyFont="1" applyFill="1" applyBorder="1"/>
    <xf numFmtId="0" fontId="0" fillId="0" borderId="1" xfId="0" applyBorder="1"/>
    <xf numFmtId="2" fontId="0" fillId="0" borderId="1" xfId="0" applyNumberFormat="1" applyBorder="1"/>
    <xf numFmtId="165" fontId="0" fillId="0" borderId="1" xfId="1" applyNumberFormat="1" applyFont="1" applyBorder="1"/>
    <xf numFmtId="44" fontId="0" fillId="0" borderId="1" xfId="1" applyNumberFormat="1" applyFont="1" applyBorder="1"/>
    <xf numFmtId="9" fontId="0" fillId="0" borderId="1" xfId="1" applyNumberFormat="1" applyFont="1" applyBorder="1"/>
    <xf numFmtId="164" fontId="0" fillId="0" borderId="1" xfId="0" applyNumberFormat="1" applyBorder="1"/>
    <xf numFmtId="3" fontId="0" fillId="0" borderId="1" xfId="0" applyNumberFormat="1" applyBorder="1"/>
    <xf numFmtId="6" fontId="0" fillId="0" borderId="1" xfId="0" applyNumberFormat="1" applyBorder="1"/>
    <xf numFmtId="38" fontId="0" fillId="0" borderId="1" xfId="0" applyNumberFormat="1" applyBorder="1"/>
    <xf numFmtId="0" fontId="2" fillId="0" borderId="1" xfId="0" applyFont="1" applyBorder="1"/>
    <xf numFmtId="10" fontId="0" fillId="0" borderId="1" xfId="0" applyNumberFormat="1" applyBorder="1"/>
    <xf numFmtId="0" fontId="0" fillId="0" borderId="1" xfId="0" quotePrefix="1" applyBorder="1"/>
    <xf numFmtId="0" fontId="5" fillId="0" borderId="1" xfId="0" quotePrefix="1" applyFont="1" applyBorder="1"/>
    <xf numFmtId="9" fontId="0" fillId="0" borderId="0" xfId="0" applyNumberFormat="1"/>
    <xf numFmtId="0" fontId="0" fillId="0" borderId="1" xfId="0" applyFill="1" applyBorder="1" applyAlignment="1">
      <alignment wrapText="1"/>
    </xf>
    <xf numFmtId="38" fontId="0" fillId="0" borderId="1" xfId="0" applyNumberFormat="1" applyFill="1" applyBorder="1"/>
    <xf numFmtId="0" fontId="0" fillId="0" borderId="1" xfId="0" applyFill="1" applyBorder="1"/>
    <xf numFmtId="166" fontId="6" fillId="0" borderId="1" xfId="2" applyNumberFormat="1" applyFont="1" applyBorder="1"/>
    <xf numFmtId="0" fontId="7" fillId="0" borderId="0" xfId="0" applyFont="1"/>
  </cellXfs>
  <cellStyles count="3">
    <cellStyle name="Comma" xfId="2" builtinId="3"/>
    <cellStyle name="Currency" xfId="1"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15"/>
  <sheetViews>
    <sheetView tabSelected="1" topLeftCell="A99" zoomScale="120" zoomScaleNormal="120" workbookViewId="0">
      <selection activeCell="E116" sqref="E116"/>
    </sheetView>
  </sheetViews>
  <sheetFormatPr defaultRowHeight="14.5" x14ac:dyDescent="0.35"/>
  <cols>
    <col min="1" max="1" width="31.7265625" customWidth="1"/>
    <col min="2" max="2" width="18.1796875" bestFit="1" customWidth="1"/>
    <col min="3" max="3" width="16.1796875" bestFit="1" customWidth="1"/>
    <col min="4" max="4" width="16.1796875" customWidth="1"/>
    <col min="5" max="5" width="16.81640625" customWidth="1"/>
    <col min="6" max="6" width="17.54296875" customWidth="1"/>
    <col min="7" max="7" width="13.7265625" customWidth="1"/>
    <col min="8" max="11" width="13.7265625" bestFit="1" customWidth="1"/>
  </cols>
  <sheetData>
    <row r="1" spans="1:8" x14ac:dyDescent="0.35">
      <c r="A1" s="2" t="s">
        <v>0</v>
      </c>
      <c r="B1" s="3"/>
      <c r="C1" s="3"/>
      <c r="D1" s="3"/>
      <c r="E1" s="3"/>
      <c r="F1" s="3"/>
    </row>
    <row r="2" spans="1:8" x14ac:dyDescent="0.35">
      <c r="A2" s="4" t="s">
        <v>1</v>
      </c>
      <c r="B2" s="4"/>
      <c r="C2" s="4"/>
      <c r="D2" s="4"/>
      <c r="E2" s="4"/>
      <c r="F2" s="4"/>
    </row>
    <row r="3" spans="1:8" x14ac:dyDescent="0.35">
      <c r="A3" s="4" t="s">
        <v>23</v>
      </c>
      <c r="B3" s="4">
        <v>400</v>
      </c>
      <c r="C3" s="4" t="s">
        <v>2</v>
      </c>
      <c r="D3" s="4"/>
      <c r="E3" s="4"/>
      <c r="F3" s="4"/>
    </row>
    <row r="4" spans="1:8" ht="16.5" x14ac:dyDescent="0.35">
      <c r="A4" s="4" t="s">
        <v>37</v>
      </c>
      <c r="B4" s="4" t="s">
        <v>39</v>
      </c>
      <c r="C4" s="4"/>
      <c r="D4" s="4"/>
      <c r="E4" s="4"/>
      <c r="F4" s="4"/>
    </row>
    <row r="5" spans="1:8" ht="16.5" x14ac:dyDescent="0.35">
      <c r="A5" s="4" t="s">
        <v>40</v>
      </c>
      <c r="B5" s="5">
        <v>7600</v>
      </c>
      <c r="C5" s="4" t="s">
        <v>21</v>
      </c>
      <c r="D5" s="4"/>
      <c r="E5" s="4"/>
      <c r="F5" s="4"/>
    </row>
    <row r="6" spans="1:8" x14ac:dyDescent="0.35">
      <c r="A6" s="4"/>
      <c r="B6" s="5">
        <f>B5/1000</f>
        <v>7.6</v>
      </c>
      <c r="C6" s="4" t="s">
        <v>17</v>
      </c>
      <c r="D6" s="4"/>
      <c r="E6" s="4"/>
      <c r="F6" s="4"/>
    </row>
    <row r="7" spans="1:8" ht="16.5" x14ac:dyDescent="0.35">
      <c r="A7" s="4" t="s">
        <v>42</v>
      </c>
      <c r="B7" s="6">
        <v>2711.35</v>
      </c>
      <c r="C7" s="4" t="s">
        <v>7</v>
      </c>
      <c r="D7" s="4"/>
      <c r="E7" s="4"/>
      <c r="F7" s="4"/>
    </row>
    <row r="8" spans="1:8" x14ac:dyDescent="0.35">
      <c r="A8" s="4"/>
      <c r="B8" s="7">
        <f>B7/1000</f>
        <v>2.7113499999999999</v>
      </c>
      <c r="C8" s="4" t="s">
        <v>3</v>
      </c>
      <c r="D8" s="4"/>
      <c r="E8" s="4"/>
      <c r="F8" s="4"/>
    </row>
    <row r="9" spans="1:8" ht="16.5" x14ac:dyDescent="0.35">
      <c r="A9" s="4" t="s">
        <v>43</v>
      </c>
      <c r="B9" s="8">
        <v>0.3</v>
      </c>
      <c r="C9" s="4"/>
      <c r="D9" s="4"/>
      <c r="E9" s="4"/>
      <c r="F9" s="4"/>
      <c r="H9">
        <f>40*25%</f>
        <v>10</v>
      </c>
    </row>
    <row r="10" spans="1:8" x14ac:dyDescent="0.35">
      <c r="A10" s="4" t="s">
        <v>18</v>
      </c>
      <c r="B10" s="9">
        <v>4</v>
      </c>
      <c r="C10" s="4" t="s">
        <v>19</v>
      </c>
      <c r="D10" s="4"/>
      <c r="E10" s="4"/>
      <c r="F10" s="4"/>
    </row>
    <row r="11" spans="1:8" x14ac:dyDescent="0.35">
      <c r="A11" s="4" t="s">
        <v>4</v>
      </c>
      <c r="B11" s="10">
        <v>800000</v>
      </c>
      <c r="C11" s="4" t="s">
        <v>5</v>
      </c>
      <c r="D11" s="4"/>
      <c r="E11" s="4"/>
      <c r="F11" s="4"/>
    </row>
    <row r="12" spans="1:8" x14ac:dyDescent="0.35">
      <c r="A12" s="4" t="s">
        <v>6</v>
      </c>
      <c r="B12" s="11">
        <v>5</v>
      </c>
      <c r="C12" s="4" t="s">
        <v>7</v>
      </c>
      <c r="D12" s="4"/>
      <c r="E12" s="4"/>
      <c r="F12" s="4"/>
    </row>
    <row r="13" spans="1:8" x14ac:dyDescent="0.35">
      <c r="A13" s="4" t="s">
        <v>8</v>
      </c>
      <c r="B13" s="12">
        <v>2001510</v>
      </c>
      <c r="C13" s="4" t="s">
        <v>9</v>
      </c>
      <c r="D13" s="4"/>
      <c r="E13" s="4"/>
      <c r="F13" s="4"/>
      <c r="H13" s="17"/>
    </row>
    <row r="14" spans="1:8" ht="45.75" customHeight="1" x14ac:dyDescent="0.35">
      <c r="A14" s="18" t="s">
        <v>44</v>
      </c>
      <c r="B14" s="19">
        <v>533.4</v>
      </c>
      <c r="C14" s="20" t="s">
        <v>33</v>
      </c>
      <c r="D14" s="4"/>
      <c r="E14" s="4"/>
      <c r="F14" s="4"/>
      <c r="H14" s="17"/>
    </row>
    <row r="15" spans="1:8" x14ac:dyDescent="0.35">
      <c r="A15" s="4"/>
      <c r="B15" s="11"/>
      <c r="C15" s="4"/>
      <c r="D15" s="4"/>
      <c r="E15" s="4"/>
      <c r="F15" s="4"/>
    </row>
    <row r="16" spans="1:8" x14ac:dyDescent="0.35">
      <c r="A16" s="3" t="s">
        <v>24</v>
      </c>
      <c r="B16" s="3">
        <v>400</v>
      </c>
      <c r="C16" s="3"/>
      <c r="D16" s="3"/>
      <c r="E16" s="3"/>
      <c r="F16" s="3"/>
    </row>
    <row r="17" spans="1:11" x14ac:dyDescent="0.35">
      <c r="A17" s="4" t="s">
        <v>10</v>
      </c>
      <c r="B17" s="4">
        <v>1</v>
      </c>
      <c r="C17" s="4">
        <v>2</v>
      </c>
      <c r="D17" s="4">
        <v>3</v>
      </c>
      <c r="E17" s="4">
        <v>4</v>
      </c>
      <c r="F17" s="4">
        <v>5</v>
      </c>
    </row>
    <row r="18" spans="1:11" x14ac:dyDescent="0.35">
      <c r="A18" s="13" t="s">
        <v>11</v>
      </c>
      <c r="B18" s="4"/>
      <c r="C18" s="4"/>
      <c r="D18" s="4"/>
      <c r="E18" s="4"/>
      <c r="F18" s="4"/>
    </row>
    <row r="19" spans="1:11" x14ac:dyDescent="0.35">
      <c r="A19" s="4" t="s">
        <v>32</v>
      </c>
      <c r="B19" s="11">
        <f>$B$13*$B$12</f>
        <v>10007550</v>
      </c>
      <c r="C19" s="11">
        <f>B19</f>
        <v>10007550</v>
      </c>
      <c r="D19" s="11">
        <f>B19</f>
        <v>10007550</v>
      </c>
      <c r="E19" s="11">
        <f t="shared" ref="E19:F21" si="0">D19</f>
        <v>10007550</v>
      </c>
      <c r="F19" s="11">
        <f t="shared" si="0"/>
        <v>10007550</v>
      </c>
      <c r="G19" s="1"/>
      <c r="H19" s="1"/>
      <c r="I19" s="1"/>
      <c r="J19" s="1"/>
      <c r="K19" s="1"/>
    </row>
    <row r="20" spans="1:11" x14ac:dyDescent="0.35">
      <c r="A20" s="4" t="s">
        <v>20</v>
      </c>
      <c r="B20" s="4"/>
      <c r="C20" s="11">
        <f>($B$16-$B$3)*($B$6/$B$10)*$B$11*0.25</f>
        <v>0</v>
      </c>
      <c r="D20" s="11">
        <f>C20*2</f>
        <v>0</v>
      </c>
      <c r="E20" s="11">
        <f t="shared" si="0"/>
        <v>0</v>
      </c>
      <c r="F20" s="11">
        <f>($B$16-$B$3)*($B$6/$B$10)*$B$11*0.75</f>
        <v>0</v>
      </c>
      <c r="G20" s="1"/>
      <c r="H20" s="1"/>
      <c r="I20" s="1"/>
      <c r="J20" s="1"/>
      <c r="K20" s="1"/>
    </row>
    <row r="21" spans="1:11" x14ac:dyDescent="0.35">
      <c r="A21" s="4" t="s">
        <v>22</v>
      </c>
      <c r="B21" s="4"/>
      <c r="C21" s="11">
        <f>($B$16-$B$3)*$B$8*$B$11*$B$9*0.25</f>
        <v>0</v>
      </c>
      <c r="D21" s="11">
        <f>C21*2</f>
        <v>0</v>
      </c>
      <c r="E21" s="11">
        <f t="shared" si="0"/>
        <v>0</v>
      </c>
      <c r="F21" s="11">
        <f>($B$16-$B$3)*$B$8*$B$11*$B$9*0.75</f>
        <v>0</v>
      </c>
      <c r="G21" s="1"/>
      <c r="H21" s="1"/>
      <c r="I21" s="1"/>
      <c r="J21" s="1"/>
      <c r="K21" s="1"/>
    </row>
    <row r="22" spans="1:11" x14ac:dyDescent="0.35">
      <c r="A22" s="4" t="s">
        <v>12</v>
      </c>
      <c r="B22" s="11">
        <f>B19</f>
        <v>10007550</v>
      </c>
      <c r="C22" s="11">
        <f>B19+C20+C21</f>
        <v>10007550</v>
      </c>
      <c r="D22" s="11">
        <f>D19+D20+D21</f>
        <v>10007550</v>
      </c>
      <c r="E22" s="11">
        <f>E19+E20+E21</f>
        <v>10007550</v>
      </c>
      <c r="F22" s="11">
        <f>F19+F20+F21</f>
        <v>10007550</v>
      </c>
      <c r="G22" s="1"/>
      <c r="H22" s="1"/>
      <c r="I22" s="1"/>
      <c r="J22" s="1"/>
      <c r="K22" s="1"/>
    </row>
    <row r="23" spans="1:11" x14ac:dyDescent="0.35">
      <c r="A23" s="4"/>
      <c r="B23" s="4"/>
      <c r="C23" s="4"/>
      <c r="D23" s="4"/>
      <c r="E23" s="4"/>
      <c r="F23" s="4"/>
    </row>
    <row r="24" spans="1:11" ht="43.5" x14ac:dyDescent="0.35">
      <c r="A24" s="18" t="s">
        <v>36</v>
      </c>
      <c r="B24" s="21">
        <f>-$B$14/$B$10*$B$11</f>
        <v>-106680000</v>
      </c>
      <c r="C24" s="21">
        <f>-$B$14/$B$10*$B$11</f>
        <v>-106680000</v>
      </c>
      <c r="D24" s="21">
        <f>-$B$14/$B$10*$B$11</f>
        <v>-106680000</v>
      </c>
      <c r="E24" s="21">
        <f>-$B$14/$B$10*$B$11</f>
        <v>-106680000</v>
      </c>
      <c r="F24" s="21">
        <f>-$B$14/$B$10*$B$11</f>
        <v>-106680000</v>
      </c>
    </row>
    <row r="25" spans="1:11" x14ac:dyDescent="0.35">
      <c r="A25" s="20" t="s">
        <v>34</v>
      </c>
      <c r="B25" s="11">
        <v>-35845900</v>
      </c>
      <c r="C25" s="11">
        <v>-35354400</v>
      </c>
      <c r="D25" s="11">
        <v>-88958995</v>
      </c>
      <c r="E25" s="11">
        <v>-38599405</v>
      </c>
      <c r="F25" s="11">
        <v>-37968550</v>
      </c>
      <c r="G25" s="1">
        <f>SUM(B25:F25)</f>
        <v>-236727250</v>
      </c>
      <c r="J25" t="s">
        <v>28</v>
      </c>
    </row>
    <row r="26" spans="1:11" x14ac:dyDescent="0.35">
      <c r="A26" s="20" t="s">
        <v>35</v>
      </c>
      <c r="B26" s="11">
        <f>SUM(B24:B25)</f>
        <v>-142525900</v>
      </c>
      <c r="C26" s="11">
        <f t="shared" ref="C26:F26" si="1">SUM(C24:C25)</f>
        <v>-142034400</v>
      </c>
      <c r="D26" s="11">
        <f t="shared" si="1"/>
        <v>-195638995</v>
      </c>
      <c r="E26" s="11">
        <f t="shared" si="1"/>
        <v>-145279405</v>
      </c>
      <c r="F26" s="11">
        <f t="shared" si="1"/>
        <v>-144648550</v>
      </c>
      <c r="G26" s="1"/>
    </row>
    <row r="27" spans="1:11" x14ac:dyDescent="0.35">
      <c r="A27" s="4"/>
      <c r="B27" s="4"/>
      <c r="C27" s="4"/>
      <c r="D27" s="4"/>
      <c r="E27" s="4"/>
      <c r="F27" s="4"/>
    </row>
    <row r="28" spans="1:11" x14ac:dyDescent="0.35">
      <c r="A28" s="4" t="s">
        <v>13</v>
      </c>
      <c r="B28" s="11">
        <f>B22+B25</f>
        <v>-25838350</v>
      </c>
      <c r="C28" s="11">
        <f>C22+C25</f>
        <v>-25346850</v>
      </c>
      <c r="D28" s="11">
        <f>D22+D25</f>
        <v>-78951445</v>
      </c>
      <c r="E28" s="11">
        <f>E22+E25</f>
        <v>-28591855</v>
      </c>
      <c r="F28" s="11">
        <f>F22+F25</f>
        <v>-27961000</v>
      </c>
      <c r="G28" s="1"/>
      <c r="H28" s="1"/>
      <c r="I28" s="1"/>
      <c r="J28" s="1"/>
      <c r="K28" s="1"/>
    </row>
    <row r="29" spans="1:11" x14ac:dyDescent="0.35">
      <c r="A29" s="4" t="s">
        <v>14</v>
      </c>
      <c r="B29" s="14" t="s">
        <v>27</v>
      </c>
      <c r="C29" s="4"/>
      <c r="D29" s="4"/>
      <c r="E29" s="4"/>
      <c r="F29" s="4"/>
    </row>
    <row r="30" spans="1:11" x14ac:dyDescent="0.35">
      <c r="A30" s="4" t="s">
        <v>25</v>
      </c>
      <c r="B30" s="11">
        <f>NPV(10%,B28:F28)</f>
        <v>-140644810.9822354</v>
      </c>
      <c r="C30" s="4"/>
      <c r="D30" s="4"/>
      <c r="E30" s="4"/>
      <c r="F30" s="4"/>
    </row>
    <row r="31" spans="1:11" x14ac:dyDescent="0.35">
      <c r="A31" s="15" t="s">
        <v>15</v>
      </c>
      <c r="B31" s="11">
        <f>NPV(20%,B28:F28)</f>
        <v>-109848840.24562757</v>
      </c>
      <c r="C31" s="4"/>
      <c r="D31" s="4"/>
      <c r="E31" s="4"/>
      <c r="F31" s="4"/>
    </row>
    <row r="32" spans="1:11" x14ac:dyDescent="0.35">
      <c r="A32" s="15" t="s">
        <v>16</v>
      </c>
      <c r="B32" s="11">
        <f>NPV(30%,B28:F28)</f>
        <v>-88351327.505501032</v>
      </c>
      <c r="C32" s="4"/>
      <c r="D32" s="4"/>
      <c r="E32" s="4"/>
      <c r="F32" s="4"/>
      <c r="J32" t="s">
        <v>29</v>
      </c>
    </row>
    <row r="33" spans="1:11" x14ac:dyDescent="0.35">
      <c r="A33" s="16" t="s">
        <v>26</v>
      </c>
      <c r="B33" s="4"/>
      <c r="C33" s="4"/>
      <c r="D33" s="4"/>
      <c r="E33" s="4"/>
      <c r="F33" s="4"/>
      <c r="J33" t="s">
        <v>30</v>
      </c>
    </row>
    <row r="34" spans="1:11" x14ac:dyDescent="0.35">
      <c r="A34" s="4"/>
      <c r="B34" s="4"/>
      <c r="C34" s="4"/>
      <c r="D34" s="4"/>
      <c r="E34" s="4"/>
      <c r="F34" s="4"/>
      <c r="J34" t="s">
        <v>31</v>
      </c>
    </row>
    <row r="35" spans="1:11" x14ac:dyDescent="0.35">
      <c r="A35" s="3" t="s">
        <v>24</v>
      </c>
      <c r="B35" s="3">
        <v>600</v>
      </c>
      <c r="C35" s="3"/>
      <c r="D35" s="3"/>
      <c r="E35" s="3"/>
      <c r="F35" s="3"/>
    </row>
    <row r="36" spans="1:11" x14ac:dyDescent="0.35">
      <c r="A36" s="4" t="s">
        <v>10</v>
      </c>
      <c r="B36" s="4">
        <v>1</v>
      </c>
      <c r="C36" s="4">
        <v>2</v>
      </c>
      <c r="D36" s="4">
        <v>3</v>
      </c>
      <c r="E36" s="4">
        <v>4</v>
      </c>
      <c r="F36" s="4">
        <v>5</v>
      </c>
    </row>
    <row r="37" spans="1:11" x14ac:dyDescent="0.35">
      <c r="A37" s="13" t="s">
        <v>11</v>
      </c>
      <c r="B37" s="4"/>
      <c r="C37" s="4"/>
      <c r="D37" s="4"/>
      <c r="E37" s="4"/>
      <c r="F37" s="4"/>
    </row>
    <row r="38" spans="1:11" x14ac:dyDescent="0.35">
      <c r="A38" s="4" t="s">
        <v>32</v>
      </c>
      <c r="B38" s="11">
        <f>$B$13*$B$12</f>
        <v>10007550</v>
      </c>
      <c r="C38" s="11">
        <f>B38</f>
        <v>10007550</v>
      </c>
      <c r="D38" s="11">
        <f>B38</f>
        <v>10007550</v>
      </c>
      <c r="E38" s="11">
        <f t="shared" ref="E38:F38" si="2">D38</f>
        <v>10007550</v>
      </c>
      <c r="F38" s="11">
        <f t="shared" si="2"/>
        <v>10007550</v>
      </c>
      <c r="G38" s="1"/>
      <c r="H38" s="1"/>
      <c r="I38" s="1"/>
      <c r="J38" s="1"/>
      <c r="K38" s="1"/>
    </row>
    <row r="39" spans="1:11" x14ac:dyDescent="0.35">
      <c r="A39" s="4" t="s">
        <v>20</v>
      </c>
      <c r="B39" s="4"/>
      <c r="C39" s="11">
        <f>(B35-$B$3)*($B$6/$B$10)*($B$11*25%)</f>
        <v>76000000</v>
      </c>
      <c r="D39" s="11">
        <f>(B35-$B$3)*($B$6/$B$10)*($B$11*0.5)</f>
        <v>152000000</v>
      </c>
      <c r="E39" s="11">
        <f>(B35-$B$3)*($B$6/$B$10)*($B$11*0.5)</f>
        <v>152000000</v>
      </c>
      <c r="F39" s="11">
        <f>(B35-$B$3)*($B$6/$B$10)*($B$11*0.75)</f>
        <v>228000000</v>
      </c>
      <c r="G39" s="1"/>
      <c r="H39" s="1"/>
      <c r="I39" s="1"/>
      <c r="J39" s="1"/>
      <c r="K39" s="1"/>
    </row>
    <row r="40" spans="1:11" x14ac:dyDescent="0.35">
      <c r="A40" s="4" t="s">
        <v>22</v>
      </c>
      <c r="B40" s="4"/>
      <c r="C40" s="11">
        <f>(B35-$B$3)*$B$8*($B$11*0.25)*$B$9</f>
        <v>32536200</v>
      </c>
      <c r="D40" s="11">
        <f>(B35-$B$3)*$B$8*($B$11*0.5)*$B$9</f>
        <v>65072400</v>
      </c>
      <c r="E40" s="11">
        <f>(B35-$B$3)*$B$8*($B$11*0.5)*$B$9</f>
        <v>65072400</v>
      </c>
      <c r="F40" s="11">
        <f>(B35-$B$3)*$B$8*($B$11*0.75)*$B$9</f>
        <v>97608600</v>
      </c>
      <c r="G40" s="1"/>
      <c r="H40" s="1"/>
      <c r="I40" s="1"/>
      <c r="J40" s="1"/>
      <c r="K40" s="1"/>
    </row>
    <row r="41" spans="1:11" x14ac:dyDescent="0.35">
      <c r="A41" s="4" t="s">
        <v>12</v>
      </c>
      <c r="B41" s="11">
        <f>B38</f>
        <v>10007550</v>
      </c>
      <c r="C41" s="11">
        <f>B38+C39+C40</f>
        <v>118543750</v>
      </c>
      <c r="D41" s="11">
        <f>D38+D39+D40</f>
        <v>227079950</v>
      </c>
      <c r="E41" s="11">
        <f>E38+E39+E40</f>
        <v>227079950</v>
      </c>
      <c r="F41" s="11">
        <f>F38+F39+F40</f>
        <v>335616150</v>
      </c>
      <c r="G41" s="1"/>
      <c r="H41" s="1"/>
      <c r="I41" s="1"/>
      <c r="J41" s="1"/>
      <c r="K41" s="1"/>
    </row>
    <row r="42" spans="1:11" x14ac:dyDescent="0.35">
      <c r="A42" s="4"/>
      <c r="B42" s="4"/>
      <c r="C42" s="4"/>
      <c r="D42" s="4"/>
      <c r="E42" s="4"/>
      <c r="F42" s="4"/>
    </row>
    <row r="43" spans="1:11" ht="43.5" x14ac:dyDescent="0.35">
      <c r="A43" s="18" t="s">
        <v>36</v>
      </c>
      <c r="B43" s="21">
        <f>-$B$14/$B$10*$B$11</f>
        <v>-106680000</v>
      </c>
      <c r="C43" s="21">
        <f>-$B$14/$B$10*$B$11</f>
        <v>-106680000</v>
      </c>
      <c r="D43" s="21">
        <f>-$B$14/$B$10*$B$11</f>
        <v>-106680000</v>
      </c>
      <c r="E43" s="21">
        <f>-$B$14/$B$10*$B$11</f>
        <v>-106680000</v>
      </c>
      <c r="F43" s="21">
        <f>-$B$14/$B$10*$B$11</f>
        <v>-106680000</v>
      </c>
    </row>
    <row r="44" spans="1:11" x14ac:dyDescent="0.35">
      <c r="A44" s="20" t="s">
        <v>34</v>
      </c>
      <c r="B44" s="11">
        <v>-35845900</v>
      </c>
      <c r="C44" s="11">
        <v>-35354400</v>
      </c>
      <c r="D44" s="11">
        <v>-88958995</v>
      </c>
      <c r="E44" s="11">
        <v>-38599405</v>
      </c>
      <c r="F44" s="11">
        <v>-37968550</v>
      </c>
    </row>
    <row r="45" spans="1:11" x14ac:dyDescent="0.35">
      <c r="A45" s="20" t="s">
        <v>35</v>
      </c>
      <c r="B45" s="11">
        <f>SUM(B43:B44)</f>
        <v>-142525900</v>
      </c>
      <c r="C45" s="11">
        <f t="shared" ref="C45" si="3">SUM(C43:C44)</f>
        <v>-142034400</v>
      </c>
      <c r="D45" s="11">
        <f t="shared" ref="D45" si="4">SUM(D43:D44)</f>
        <v>-195638995</v>
      </c>
      <c r="E45" s="11">
        <f t="shared" ref="E45" si="5">SUM(E43:E44)</f>
        <v>-145279405</v>
      </c>
      <c r="F45" s="11">
        <f t="shared" ref="F45" si="6">SUM(F43:F44)</f>
        <v>-144648550</v>
      </c>
    </row>
    <row r="46" spans="1:11" x14ac:dyDescent="0.35">
      <c r="A46" s="4"/>
      <c r="B46" s="4"/>
      <c r="C46" s="4"/>
      <c r="D46" s="4"/>
      <c r="E46" s="4"/>
      <c r="F46" s="4"/>
    </row>
    <row r="47" spans="1:11" x14ac:dyDescent="0.35">
      <c r="A47" s="4" t="s">
        <v>13</v>
      </c>
      <c r="B47" s="11">
        <f t="shared" ref="B47:F47" si="7">B41+B45</f>
        <v>-132518350</v>
      </c>
      <c r="C47" s="11">
        <f t="shared" si="7"/>
        <v>-23490650</v>
      </c>
      <c r="D47" s="11">
        <f t="shared" si="7"/>
        <v>31440955</v>
      </c>
      <c r="E47" s="11">
        <f t="shared" si="7"/>
        <v>81800545</v>
      </c>
      <c r="F47" s="11">
        <f t="shared" si="7"/>
        <v>190967600</v>
      </c>
      <c r="G47" s="1"/>
      <c r="H47" s="1"/>
      <c r="I47" s="1"/>
      <c r="J47" s="1"/>
      <c r="K47" s="1"/>
    </row>
    <row r="48" spans="1:11" x14ac:dyDescent="0.35">
      <c r="A48" s="4" t="s">
        <v>14</v>
      </c>
      <c r="B48" s="14">
        <f>IRR(B47:F47)</f>
        <v>0.22146373376502382</v>
      </c>
      <c r="C48" s="4"/>
      <c r="D48" s="4"/>
      <c r="E48" s="4"/>
      <c r="F48" s="4"/>
    </row>
    <row r="49" spans="1:11" x14ac:dyDescent="0.35">
      <c r="A49" s="4" t="s">
        <v>25</v>
      </c>
      <c r="B49" s="11">
        <f>NPV(10%,B47:F47)</f>
        <v>58183794.987302072</v>
      </c>
      <c r="C49" s="4"/>
      <c r="D49" s="4"/>
      <c r="E49" s="4"/>
      <c r="F49" s="4"/>
    </row>
    <row r="50" spans="1:11" x14ac:dyDescent="0.35">
      <c r="A50" s="15" t="s">
        <v>15</v>
      </c>
      <c r="B50" s="11">
        <f>NPV(20%,B47:F47)</f>
        <v>7644248.1031378731</v>
      </c>
      <c r="C50" s="4"/>
      <c r="D50" s="4"/>
      <c r="E50" s="4"/>
      <c r="F50" s="4"/>
    </row>
    <row r="51" spans="1:11" x14ac:dyDescent="0.35">
      <c r="A51" s="15" t="s">
        <v>16</v>
      </c>
      <c r="B51" s="11">
        <f>NPV(30%,B47:F47)</f>
        <v>-21452355.696175292</v>
      </c>
      <c r="C51" s="4"/>
      <c r="D51" s="4"/>
      <c r="E51" s="4"/>
      <c r="F51" s="4"/>
    </row>
    <row r="52" spans="1:11" x14ac:dyDescent="0.35">
      <c r="A52" s="16" t="s">
        <v>26</v>
      </c>
      <c r="B52" s="4"/>
      <c r="C52" s="4"/>
      <c r="D52" s="4"/>
      <c r="E52" s="4"/>
      <c r="F52" s="4"/>
    </row>
    <row r="53" spans="1:11" x14ac:dyDescent="0.35">
      <c r="A53" s="4"/>
      <c r="B53" s="4"/>
      <c r="C53" s="4"/>
      <c r="D53" s="4"/>
      <c r="E53" s="4"/>
      <c r="F53" s="4"/>
    </row>
    <row r="54" spans="1:11" x14ac:dyDescent="0.35">
      <c r="A54" s="3" t="s">
        <v>24</v>
      </c>
      <c r="B54" s="3">
        <v>800</v>
      </c>
      <c r="C54" s="3"/>
      <c r="D54" s="3"/>
      <c r="E54" s="3"/>
      <c r="F54" s="3"/>
    </row>
    <row r="55" spans="1:11" x14ac:dyDescent="0.35">
      <c r="A55" s="4" t="s">
        <v>10</v>
      </c>
      <c r="B55" s="4">
        <v>1</v>
      </c>
      <c r="C55" s="4">
        <v>2</v>
      </c>
      <c r="D55" s="4">
        <v>3</v>
      </c>
      <c r="E55" s="4">
        <v>4</v>
      </c>
      <c r="F55" s="4">
        <v>5</v>
      </c>
    </row>
    <row r="56" spans="1:11" x14ac:dyDescent="0.35">
      <c r="A56" s="13" t="s">
        <v>11</v>
      </c>
      <c r="B56" s="4"/>
      <c r="C56" s="4"/>
      <c r="D56" s="4"/>
      <c r="E56" s="4"/>
      <c r="F56" s="4"/>
    </row>
    <row r="57" spans="1:11" x14ac:dyDescent="0.35">
      <c r="A57" s="4" t="s">
        <v>32</v>
      </c>
      <c r="B57" s="11">
        <f>$B$13*$B$12</f>
        <v>10007550</v>
      </c>
      <c r="C57" s="11">
        <f>B57</f>
        <v>10007550</v>
      </c>
      <c r="D57" s="11">
        <f>B57</f>
        <v>10007550</v>
      </c>
      <c r="E57" s="11">
        <f t="shared" ref="E57:F59" si="8">D57</f>
        <v>10007550</v>
      </c>
      <c r="F57" s="11">
        <f t="shared" si="8"/>
        <v>10007550</v>
      </c>
      <c r="G57" s="1"/>
      <c r="H57" s="1"/>
      <c r="I57" s="1"/>
      <c r="J57" s="1"/>
      <c r="K57" s="1"/>
    </row>
    <row r="58" spans="1:11" x14ac:dyDescent="0.35">
      <c r="A58" s="4" t="s">
        <v>20</v>
      </c>
      <c r="B58" s="4"/>
      <c r="C58" s="11">
        <f>($B$54-$B$3)*($B$6/$B$10)*$B$11*0.25</f>
        <v>152000000</v>
      </c>
      <c r="D58" s="11">
        <f>C58*2</f>
        <v>304000000</v>
      </c>
      <c r="E58" s="11">
        <f t="shared" si="8"/>
        <v>304000000</v>
      </c>
      <c r="F58" s="11">
        <f>($B$54-$B$3)*($B$6/$B$10)*$B$11*0.75</f>
        <v>456000000</v>
      </c>
      <c r="G58" s="1"/>
      <c r="H58" s="1"/>
      <c r="I58" s="1"/>
      <c r="J58" s="1"/>
      <c r="K58" s="1"/>
    </row>
    <row r="59" spans="1:11" x14ac:dyDescent="0.35">
      <c r="A59" s="4" t="s">
        <v>22</v>
      </c>
      <c r="B59" s="4"/>
      <c r="C59" s="11">
        <f>($B$54-$B$3)*$B$8*$B$11*$B$9*0.25</f>
        <v>65072400</v>
      </c>
      <c r="D59" s="11">
        <f>C59*2</f>
        <v>130144800</v>
      </c>
      <c r="E59" s="11">
        <f t="shared" si="8"/>
        <v>130144800</v>
      </c>
      <c r="F59" s="11">
        <f>($B$54-$B$3)*$B$8*$B$11*$B$9*0.75</f>
        <v>195217200</v>
      </c>
      <c r="G59" s="1"/>
      <c r="H59" s="1"/>
      <c r="I59" s="1"/>
      <c r="J59" s="1"/>
      <c r="K59" s="1"/>
    </row>
    <row r="60" spans="1:11" x14ac:dyDescent="0.35">
      <c r="A60" s="4" t="s">
        <v>12</v>
      </c>
      <c r="B60" s="11">
        <f>B57</f>
        <v>10007550</v>
      </c>
      <c r="C60" s="11">
        <f>B57+C58+C59</f>
        <v>227079950</v>
      </c>
      <c r="D60" s="11">
        <f>D57+D58+D59</f>
        <v>444152350</v>
      </c>
      <c r="E60" s="11">
        <f>E57+E58+E59</f>
        <v>444152350</v>
      </c>
      <c r="F60" s="11">
        <f>F57+F58+F59</f>
        <v>661224750</v>
      </c>
      <c r="G60" s="1"/>
      <c r="H60" s="1"/>
      <c r="I60" s="1"/>
      <c r="J60" s="1"/>
      <c r="K60" s="1"/>
    </row>
    <row r="61" spans="1:11" x14ac:dyDescent="0.35">
      <c r="A61" s="4"/>
      <c r="B61" s="4"/>
      <c r="C61" s="4"/>
      <c r="D61" s="4"/>
      <c r="E61" s="4"/>
      <c r="F61" s="4"/>
    </row>
    <row r="62" spans="1:11" ht="43.5" x14ac:dyDescent="0.35">
      <c r="A62" s="18" t="s">
        <v>36</v>
      </c>
      <c r="B62" s="21">
        <f>-$B$14/$B$10*$B$11</f>
        <v>-106680000</v>
      </c>
      <c r="C62" s="21">
        <f>-$B$14/$B$10*$B$11</f>
        <v>-106680000</v>
      </c>
      <c r="D62" s="21">
        <f>-$B$14/$B$10*$B$11</f>
        <v>-106680000</v>
      </c>
      <c r="E62" s="21">
        <f>-$B$14/$B$10*$B$11</f>
        <v>-106680000</v>
      </c>
      <c r="F62" s="21">
        <f>-$B$14/$B$10*$B$11</f>
        <v>-106680000</v>
      </c>
    </row>
    <row r="63" spans="1:11" x14ac:dyDescent="0.35">
      <c r="A63" s="20" t="s">
        <v>34</v>
      </c>
      <c r="B63" s="11">
        <v>-35845900</v>
      </c>
      <c r="C63" s="11">
        <v>-35354400</v>
      </c>
      <c r="D63" s="11">
        <v>-88958995</v>
      </c>
      <c r="E63" s="11">
        <v>-38599405</v>
      </c>
      <c r="F63" s="11">
        <v>-37968550</v>
      </c>
    </row>
    <row r="64" spans="1:11" x14ac:dyDescent="0.35">
      <c r="A64" s="20" t="s">
        <v>35</v>
      </c>
      <c r="B64" s="11">
        <f>SUM(B62:B63)</f>
        <v>-142525900</v>
      </c>
      <c r="C64" s="11">
        <f t="shared" ref="C64" si="9">SUM(C62:C63)</f>
        <v>-142034400</v>
      </c>
      <c r="D64" s="11">
        <f t="shared" ref="D64" si="10">SUM(D62:D63)</f>
        <v>-195638995</v>
      </c>
      <c r="E64" s="11">
        <f t="shared" ref="E64" si="11">SUM(E62:E63)</f>
        <v>-145279405</v>
      </c>
      <c r="F64" s="11">
        <f t="shared" ref="F64" si="12">SUM(F62:F63)</f>
        <v>-144648550</v>
      </c>
    </row>
    <row r="65" spans="1:11" x14ac:dyDescent="0.35">
      <c r="A65" s="4"/>
      <c r="B65" s="4"/>
      <c r="C65" s="4"/>
      <c r="D65" s="4"/>
      <c r="E65" s="4"/>
      <c r="F65" s="4"/>
    </row>
    <row r="66" spans="1:11" x14ac:dyDescent="0.35">
      <c r="A66" s="4" t="s">
        <v>13</v>
      </c>
      <c r="B66" s="11">
        <f t="shared" ref="B66:F66" si="13">B60+B64</f>
        <v>-132518350</v>
      </c>
      <c r="C66" s="11">
        <f t="shared" si="13"/>
        <v>85045550</v>
      </c>
      <c r="D66" s="11">
        <f t="shared" si="13"/>
        <v>248513355</v>
      </c>
      <c r="E66" s="11">
        <f t="shared" si="13"/>
        <v>298872945</v>
      </c>
      <c r="F66" s="11">
        <f t="shared" si="13"/>
        <v>516576200</v>
      </c>
      <c r="G66" s="1"/>
      <c r="H66" s="1"/>
      <c r="I66" s="1"/>
      <c r="J66" s="1"/>
      <c r="K66" s="1"/>
    </row>
    <row r="67" spans="1:11" x14ac:dyDescent="0.35">
      <c r="A67" s="4" t="s">
        <v>14</v>
      </c>
      <c r="B67" s="14">
        <f>IRR(B66:F66)</f>
        <v>1.255842867692587</v>
      </c>
      <c r="C67" s="4"/>
      <c r="D67" s="4"/>
      <c r="E67" s="4"/>
      <c r="F67" s="4"/>
    </row>
    <row r="68" spans="1:11" x14ac:dyDescent="0.35">
      <c r="A68" s="4" t="s">
        <v>25</v>
      </c>
      <c r="B68" s="11">
        <f>NPV(10%,B66:F66)</f>
        <v>661413533.51733267</v>
      </c>
      <c r="C68" s="4"/>
      <c r="D68" s="4"/>
      <c r="E68" s="4"/>
      <c r="F68" s="4"/>
    </row>
    <row r="69" spans="1:11" x14ac:dyDescent="0.35">
      <c r="A69" s="15" t="s">
        <v>15</v>
      </c>
      <c r="B69" s="11">
        <f>NPV(20%,B66:F66)</f>
        <v>444175839.5383231</v>
      </c>
      <c r="C69" s="4"/>
      <c r="D69" s="4"/>
      <c r="E69" s="4"/>
      <c r="F69" s="4"/>
    </row>
    <row r="70" spans="1:11" x14ac:dyDescent="0.35">
      <c r="A70" s="15" t="s">
        <v>16</v>
      </c>
      <c r="B70" s="11">
        <f>NPV(30%,B66:F66)</f>
        <v>305273197.27681363</v>
      </c>
      <c r="C70" s="4"/>
      <c r="D70" s="4"/>
      <c r="E70" s="4"/>
      <c r="F70" s="4"/>
    </row>
    <row r="71" spans="1:11" x14ac:dyDescent="0.35">
      <c r="A71" s="16" t="s">
        <v>26</v>
      </c>
      <c r="B71" s="4"/>
      <c r="C71" s="4"/>
      <c r="D71" s="4"/>
      <c r="E71" s="4"/>
      <c r="F71" s="4"/>
    </row>
    <row r="72" spans="1:11" x14ac:dyDescent="0.35">
      <c r="A72" s="4"/>
      <c r="B72" s="4"/>
      <c r="C72" s="4"/>
      <c r="D72" s="4"/>
      <c r="E72" s="4"/>
      <c r="F72" s="4"/>
    </row>
    <row r="73" spans="1:11" x14ac:dyDescent="0.35">
      <c r="A73" s="3" t="s">
        <v>24</v>
      </c>
      <c r="B73" s="3">
        <v>1000</v>
      </c>
      <c r="C73" s="3"/>
      <c r="D73" s="3"/>
      <c r="E73" s="3"/>
      <c r="F73" s="3"/>
    </row>
    <row r="74" spans="1:11" x14ac:dyDescent="0.35">
      <c r="A74" s="4" t="s">
        <v>10</v>
      </c>
      <c r="B74" s="4">
        <v>1</v>
      </c>
      <c r="C74" s="4">
        <v>2</v>
      </c>
      <c r="D74" s="4">
        <v>3</v>
      </c>
      <c r="E74" s="4">
        <v>4</v>
      </c>
      <c r="F74" s="4">
        <v>5</v>
      </c>
    </row>
    <row r="75" spans="1:11" x14ac:dyDescent="0.35">
      <c r="A75" s="13" t="s">
        <v>11</v>
      </c>
      <c r="B75" s="4"/>
      <c r="C75" s="4"/>
      <c r="D75" s="4"/>
      <c r="E75" s="4"/>
      <c r="F75" s="4"/>
    </row>
    <row r="76" spans="1:11" x14ac:dyDescent="0.35">
      <c r="A76" s="4" t="s">
        <v>32</v>
      </c>
      <c r="B76" s="11">
        <f>$B$13*$B$12</f>
        <v>10007550</v>
      </c>
      <c r="C76" s="11">
        <f>B76</f>
        <v>10007550</v>
      </c>
      <c r="D76" s="11">
        <f>B76</f>
        <v>10007550</v>
      </c>
      <c r="E76" s="11">
        <f t="shared" ref="E76:F78" si="14">D76</f>
        <v>10007550</v>
      </c>
      <c r="F76" s="11">
        <f t="shared" si="14"/>
        <v>10007550</v>
      </c>
      <c r="G76" s="1"/>
      <c r="H76" s="1"/>
      <c r="I76" s="1"/>
      <c r="J76" s="1"/>
      <c r="K76" s="1"/>
    </row>
    <row r="77" spans="1:11" x14ac:dyDescent="0.35">
      <c r="A77" s="4" t="s">
        <v>20</v>
      </c>
      <c r="B77" s="4"/>
      <c r="C77" s="11">
        <f>($B$73-$B$3)*($B$6/$B$10)*$B$11*0.25</f>
        <v>228000000</v>
      </c>
      <c r="D77" s="11">
        <f>C77*2</f>
        <v>456000000</v>
      </c>
      <c r="E77" s="11">
        <f t="shared" si="14"/>
        <v>456000000</v>
      </c>
      <c r="F77" s="11">
        <f>($B$73-$B$3)*($B$6/$B$10)*$B$11*0.75</f>
        <v>684000000</v>
      </c>
      <c r="G77" s="1"/>
      <c r="H77" s="1"/>
      <c r="I77" s="1"/>
      <c r="J77" s="1"/>
      <c r="K77" s="1"/>
    </row>
    <row r="78" spans="1:11" x14ac:dyDescent="0.35">
      <c r="A78" s="4" t="s">
        <v>22</v>
      </c>
      <c r="B78" s="4"/>
      <c r="C78" s="11">
        <f>($B$73-$B$3)*$B$8*$B$11*$B$9*0.25</f>
        <v>97608600</v>
      </c>
      <c r="D78" s="11">
        <f>C78*2</f>
        <v>195217200</v>
      </c>
      <c r="E78" s="11">
        <f t="shared" si="14"/>
        <v>195217200</v>
      </c>
      <c r="F78" s="11">
        <f>($B$73-$B$3)*$B$8*$B$11*$B$9*0.75</f>
        <v>292825800</v>
      </c>
      <c r="G78" s="1"/>
      <c r="H78" s="1"/>
      <c r="I78" s="1"/>
      <c r="J78" s="1"/>
      <c r="K78" s="1"/>
    </row>
    <row r="79" spans="1:11" x14ac:dyDescent="0.35">
      <c r="A79" s="4" t="s">
        <v>12</v>
      </c>
      <c r="B79" s="11">
        <f>B76</f>
        <v>10007550</v>
      </c>
      <c r="C79" s="11">
        <f>B76+C77+C78</f>
        <v>335616150</v>
      </c>
      <c r="D79" s="11">
        <f>D76+D77+D78</f>
        <v>661224750</v>
      </c>
      <c r="E79" s="11">
        <f>E76+E77+E78</f>
        <v>661224750</v>
      </c>
      <c r="F79" s="11">
        <f>F76+F77+F78</f>
        <v>986833350</v>
      </c>
      <c r="G79" s="1"/>
      <c r="H79" s="1"/>
      <c r="I79" s="1"/>
      <c r="J79" s="1"/>
      <c r="K79" s="1"/>
    </row>
    <row r="80" spans="1:11" x14ac:dyDescent="0.35">
      <c r="A80" s="4"/>
      <c r="B80" s="11"/>
      <c r="C80" s="11"/>
      <c r="D80" s="11"/>
      <c r="E80" s="11"/>
      <c r="F80" s="11"/>
      <c r="G80" s="1"/>
      <c r="H80" s="1"/>
      <c r="I80" s="1"/>
      <c r="J80" s="1"/>
      <c r="K80" s="1"/>
    </row>
    <row r="81" spans="1:11" ht="43.5" x14ac:dyDescent="0.35">
      <c r="A81" s="18" t="s">
        <v>36</v>
      </c>
      <c r="B81" s="21">
        <f>-$B$14/$B$10*$B$11</f>
        <v>-106680000</v>
      </c>
      <c r="C81" s="21">
        <f>-$B$14/$B$10*$B$11</f>
        <v>-106680000</v>
      </c>
      <c r="D81" s="21">
        <f>-$B$14/$B$10*$B$11</f>
        <v>-106680000</v>
      </c>
      <c r="E81" s="21">
        <f>-$B$14/$B$10*$B$11</f>
        <v>-106680000</v>
      </c>
      <c r="F81" s="21">
        <f>-$B$14/$B$10*$B$11</f>
        <v>-106680000</v>
      </c>
    </row>
    <row r="82" spans="1:11" x14ac:dyDescent="0.35">
      <c r="A82" s="20" t="s">
        <v>34</v>
      </c>
      <c r="B82" s="11">
        <v>-35845900</v>
      </c>
      <c r="C82" s="11">
        <v>-35354400</v>
      </c>
      <c r="D82" s="11">
        <v>-88958995</v>
      </c>
      <c r="E82" s="11">
        <v>-38599405</v>
      </c>
      <c r="F82" s="11">
        <v>-37968550</v>
      </c>
    </row>
    <row r="83" spans="1:11" x14ac:dyDescent="0.35">
      <c r="A83" s="20" t="s">
        <v>35</v>
      </c>
      <c r="B83" s="11">
        <f>SUM(B81:B82)</f>
        <v>-142525900</v>
      </c>
      <c r="C83" s="11">
        <f t="shared" ref="C83" si="15">SUM(C81:C82)</f>
        <v>-142034400</v>
      </c>
      <c r="D83" s="11">
        <f t="shared" ref="D83" si="16">SUM(D81:D82)</f>
        <v>-195638995</v>
      </c>
      <c r="E83" s="11">
        <f t="shared" ref="E83" si="17">SUM(E81:E82)</f>
        <v>-145279405</v>
      </c>
      <c r="F83" s="11">
        <f t="shared" ref="F83" si="18">SUM(F81:F82)</f>
        <v>-144648550</v>
      </c>
    </row>
    <row r="84" spans="1:11" x14ac:dyDescent="0.35">
      <c r="A84" s="4"/>
      <c r="B84" s="4"/>
      <c r="C84" s="4"/>
      <c r="D84" s="4"/>
      <c r="E84" s="4"/>
      <c r="F84" s="4"/>
    </row>
    <row r="85" spans="1:11" x14ac:dyDescent="0.35">
      <c r="A85" s="4" t="s">
        <v>13</v>
      </c>
      <c r="B85" s="11">
        <f>B79+B83</f>
        <v>-132518350</v>
      </c>
      <c r="C85" s="11">
        <f t="shared" ref="C85:F85" si="19">C79+C83</f>
        <v>193581750</v>
      </c>
      <c r="D85" s="11">
        <f t="shared" si="19"/>
        <v>465585755</v>
      </c>
      <c r="E85" s="11">
        <f t="shared" si="19"/>
        <v>515945345</v>
      </c>
      <c r="F85" s="11">
        <f t="shared" si="19"/>
        <v>842184800</v>
      </c>
      <c r="G85" s="1"/>
      <c r="H85" s="1"/>
      <c r="I85" s="1"/>
      <c r="J85" s="1"/>
      <c r="K85" s="1"/>
    </row>
    <row r="86" spans="1:11" x14ac:dyDescent="0.35">
      <c r="A86" s="4" t="s">
        <v>14</v>
      </c>
      <c r="B86" s="14">
        <f>IRR(B85:F85)</f>
        <v>2.1621925538858253</v>
      </c>
      <c r="C86" s="4"/>
      <c r="D86" s="4"/>
      <c r="E86" s="4"/>
      <c r="F86" s="4"/>
    </row>
    <row r="87" spans="1:11" x14ac:dyDescent="0.35">
      <c r="A87" s="4" t="s">
        <v>25</v>
      </c>
      <c r="B87" s="11">
        <f>NPV(10%,B85:F85)</f>
        <v>1264643272.0473635</v>
      </c>
      <c r="C87" s="4"/>
      <c r="D87" s="4"/>
      <c r="E87" s="4"/>
      <c r="F87" s="4"/>
    </row>
    <row r="88" spans="1:11" x14ac:dyDescent="0.35">
      <c r="A88" s="15" t="s">
        <v>15</v>
      </c>
      <c r="B88" s="11">
        <f>NPV(20%,B85:F85)</f>
        <v>880707430.97350824</v>
      </c>
      <c r="C88" s="4"/>
      <c r="D88" s="4"/>
      <c r="E88" s="4"/>
      <c r="F88" s="4"/>
    </row>
    <row r="89" spans="1:11" x14ac:dyDescent="0.35">
      <c r="A89" s="15" t="s">
        <v>16</v>
      </c>
      <c r="B89" s="11">
        <f>NPV(30%,B85:F85)</f>
        <v>631998750.24980247</v>
      </c>
      <c r="C89" s="4"/>
      <c r="D89" s="4"/>
      <c r="E89" s="4"/>
      <c r="F89" s="4"/>
    </row>
    <row r="90" spans="1:11" x14ac:dyDescent="0.35">
      <c r="A90" s="16" t="s">
        <v>26</v>
      </c>
      <c r="B90" s="4"/>
      <c r="C90" s="4"/>
      <c r="D90" s="4"/>
      <c r="E90" s="4"/>
      <c r="F90" s="4"/>
    </row>
    <row r="91" spans="1:11" x14ac:dyDescent="0.35">
      <c r="A91" s="4"/>
      <c r="B91" s="4"/>
      <c r="C91" s="4"/>
      <c r="D91" s="4"/>
      <c r="E91" s="4"/>
      <c r="F91" s="4"/>
    </row>
    <row r="92" spans="1:11" x14ac:dyDescent="0.35">
      <c r="A92" s="3" t="s">
        <v>24</v>
      </c>
      <c r="B92" s="3">
        <v>1200</v>
      </c>
      <c r="C92" s="3"/>
      <c r="D92" s="3"/>
      <c r="E92" s="3"/>
      <c r="F92" s="3"/>
    </row>
    <row r="93" spans="1:11" x14ac:dyDescent="0.35">
      <c r="A93" s="4" t="s">
        <v>10</v>
      </c>
      <c r="B93" s="4">
        <v>1</v>
      </c>
      <c r="C93" s="4">
        <v>2</v>
      </c>
      <c r="D93" s="4">
        <v>3</v>
      </c>
      <c r="E93" s="4">
        <v>4</v>
      </c>
      <c r="F93" s="4">
        <v>5</v>
      </c>
    </row>
    <row r="94" spans="1:11" x14ac:dyDescent="0.35">
      <c r="A94" s="13" t="s">
        <v>11</v>
      </c>
      <c r="B94" s="4"/>
      <c r="C94" s="4"/>
      <c r="D94" s="4"/>
      <c r="E94" s="4"/>
      <c r="F94" s="4"/>
    </row>
    <row r="95" spans="1:11" x14ac:dyDescent="0.35">
      <c r="A95" s="4" t="s">
        <v>32</v>
      </c>
      <c r="B95" s="11">
        <f>$B$13*$B$12</f>
        <v>10007550</v>
      </c>
      <c r="C95" s="11">
        <f>B95</f>
        <v>10007550</v>
      </c>
      <c r="D95" s="11">
        <f>B95</f>
        <v>10007550</v>
      </c>
      <c r="E95" s="11">
        <f t="shared" ref="E95:F97" si="20">D95</f>
        <v>10007550</v>
      </c>
      <c r="F95" s="11">
        <f t="shared" si="20"/>
        <v>10007550</v>
      </c>
      <c r="G95" s="1"/>
      <c r="H95" s="1"/>
      <c r="I95" s="1"/>
      <c r="J95" s="1"/>
      <c r="K95" s="1"/>
    </row>
    <row r="96" spans="1:11" x14ac:dyDescent="0.35">
      <c r="A96" s="4" t="s">
        <v>20</v>
      </c>
      <c r="B96" s="4"/>
      <c r="C96" s="11">
        <f>($B$92-$B$3)*($B$6/$B$10)*$B$11*0.25</f>
        <v>304000000</v>
      </c>
      <c r="D96" s="11">
        <f>C96*2</f>
        <v>608000000</v>
      </c>
      <c r="E96" s="11">
        <f t="shared" si="20"/>
        <v>608000000</v>
      </c>
      <c r="F96" s="11">
        <f>($B$92-$B$3)*($B$6/$B$10)*$B$11*0.75</f>
        <v>912000000</v>
      </c>
      <c r="G96" s="1"/>
      <c r="H96" s="1"/>
      <c r="I96" s="1"/>
      <c r="J96" s="1"/>
      <c r="K96" s="1"/>
    </row>
    <row r="97" spans="1:11" x14ac:dyDescent="0.35">
      <c r="A97" s="4" t="s">
        <v>22</v>
      </c>
      <c r="B97" s="4"/>
      <c r="C97" s="11">
        <f>($B$92-$B$3)*$B$8*$B$11*$B$9*0.25</f>
        <v>130144800</v>
      </c>
      <c r="D97" s="11">
        <f>C97*2</f>
        <v>260289600</v>
      </c>
      <c r="E97" s="11">
        <f t="shared" si="20"/>
        <v>260289600</v>
      </c>
      <c r="F97" s="11">
        <f>($B$92-$B$3)*$B$8*$B$11*$B$9*0.75</f>
        <v>390434400</v>
      </c>
      <c r="G97" s="1"/>
      <c r="H97" s="1"/>
      <c r="I97" s="1"/>
      <c r="J97" s="1"/>
      <c r="K97" s="1"/>
    </row>
    <row r="98" spans="1:11" x14ac:dyDescent="0.35">
      <c r="A98" s="4" t="s">
        <v>12</v>
      </c>
      <c r="B98" s="11">
        <f>B95</f>
        <v>10007550</v>
      </c>
      <c r="C98" s="11">
        <f>B95+C96+C97</f>
        <v>444152350</v>
      </c>
      <c r="D98" s="11">
        <f>D95+D96+D97</f>
        <v>878297150</v>
      </c>
      <c r="E98" s="11">
        <f>E95+E96+E97</f>
        <v>878297150</v>
      </c>
      <c r="F98" s="11">
        <f>F95+F96+F97</f>
        <v>1312441950</v>
      </c>
      <c r="G98" s="1"/>
      <c r="H98" s="1"/>
      <c r="I98" s="1"/>
      <c r="J98" s="1"/>
      <c r="K98" s="1"/>
    </row>
    <row r="99" spans="1:11" x14ac:dyDescent="0.35">
      <c r="A99" s="4"/>
      <c r="B99" s="11"/>
      <c r="C99" s="11"/>
      <c r="D99" s="11"/>
      <c r="E99" s="11"/>
      <c r="F99" s="11"/>
      <c r="G99" s="1"/>
      <c r="H99" s="1"/>
      <c r="I99" s="1"/>
      <c r="J99" s="1"/>
      <c r="K99" s="1"/>
    </row>
    <row r="100" spans="1:11" ht="43.5" x14ac:dyDescent="0.35">
      <c r="A100" s="18" t="s">
        <v>36</v>
      </c>
      <c r="B100" s="21">
        <f>-$B$14/$B$10*$B$11</f>
        <v>-106680000</v>
      </c>
      <c r="C100" s="21">
        <f>-$B$14/$B$10*$B$11</f>
        <v>-106680000</v>
      </c>
      <c r="D100" s="21">
        <f>-$B$14/$B$10*$B$11</f>
        <v>-106680000</v>
      </c>
      <c r="E100" s="21">
        <f>-$B$14/$B$10*$B$11</f>
        <v>-106680000</v>
      </c>
      <c r="F100" s="21">
        <f>-$B$14/$B$10*$B$11</f>
        <v>-106680000</v>
      </c>
      <c r="G100" s="1"/>
      <c r="H100" s="1"/>
      <c r="I100" s="1"/>
      <c r="J100" s="1"/>
      <c r="K100" s="1"/>
    </row>
    <row r="101" spans="1:11" x14ac:dyDescent="0.35">
      <c r="A101" s="20" t="s">
        <v>34</v>
      </c>
      <c r="B101" s="11">
        <v>-35845900</v>
      </c>
      <c r="C101" s="11">
        <v>-35354400</v>
      </c>
      <c r="D101" s="11">
        <v>-88958995</v>
      </c>
      <c r="E101" s="11">
        <v>-38599405</v>
      </c>
      <c r="F101" s="11">
        <v>-37968550</v>
      </c>
    </row>
    <row r="102" spans="1:11" x14ac:dyDescent="0.35">
      <c r="A102" s="20" t="s">
        <v>35</v>
      </c>
      <c r="B102" s="11">
        <f>SUM(B100:B101)</f>
        <v>-142525900</v>
      </c>
      <c r="C102" s="11">
        <f t="shared" ref="C102" si="21">SUM(C100:C101)</f>
        <v>-142034400</v>
      </c>
      <c r="D102" s="11">
        <f t="shared" ref="D102" si="22">SUM(D100:D101)</f>
        <v>-195638995</v>
      </c>
      <c r="E102" s="11">
        <f t="shared" ref="E102" si="23">SUM(E100:E101)</f>
        <v>-145279405</v>
      </c>
      <c r="F102" s="11">
        <f t="shared" ref="F102" si="24">SUM(F100:F101)</f>
        <v>-144648550</v>
      </c>
    </row>
    <row r="103" spans="1:11" x14ac:dyDescent="0.35">
      <c r="A103" s="4"/>
      <c r="B103" s="4"/>
      <c r="C103" s="4"/>
      <c r="D103" s="4"/>
      <c r="E103" s="4"/>
      <c r="F103" s="4"/>
    </row>
    <row r="104" spans="1:11" x14ac:dyDescent="0.35">
      <c r="A104" s="4" t="s">
        <v>13</v>
      </c>
      <c r="B104" s="11">
        <f>B98+B102</f>
        <v>-132518350</v>
      </c>
      <c r="C104" s="11">
        <f>C98+C102</f>
        <v>302117950</v>
      </c>
      <c r="D104" s="11">
        <f>D98+D102</f>
        <v>682658155</v>
      </c>
      <c r="E104" s="11">
        <f>E98+E102</f>
        <v>733017745</v>
      </c>
      <c r="F104" s="11">
        <f>F98+F102</f>
        <v>1167793400</v>
      </c>
      <c r="G104" s="1"/>
      <c r="H104" s="1"/>
      <c r="I104" s="1"/>
      <c r="J104" s="1"/>
      <c r="K104" s="1"/>
    </row>
    <row r="105" spans="1:11" x14ac:dyDescent="0.35">
      <c r="A105" s="4" t="s">
        <v>14</v>
      </c>
      <c r="B105" s="14">
        <f>IRR(B104:F104)</f>
        <v>3.0320907989893753</v>
      </c>
      <c r="C105" s="4"/>
      <c r="D105" s="4"/>
      <c r="E105" s="4"/>
      <c r="F105" s="4"/>
    </row>
    <row r="106" spans="1:11" x14ac:dyDescent="0.35">
      <c r="A106" s="4" t="s">
        <v>25</v>
      </c>
      <c r="B106" s="11">
        <f>NPV(10%,B104:F104)</f>
        <v>1867873010.577394</v>
      </c>
      <c r="C106" s="4"/>
      <c r="D106" s="4"/>
      <c r="E106" s="4"/>
      <c r="F106" s="4"/>
    </row>
    <row r="107" spans="1:11" x14ac:dyDescent="0.35">
      <c r="A107" s="15" t="s">
        <v>15</v>
      </c>
      <c r="B107" s="11">
        <f>NPV(20%,B104:F104)</f>
        <v>1317239022.4086936</v>
      </c>
      <c r="C107" s="4"/>
      <c r="D107" s="4"/>
      <c r="E107" s="4"/>
      <c r="F107" s="4"/>
    </row>
    <row r="108" spans="1:11" x14ac:dyDescent="0.35">
      <c r="A108" s="15" t="s">
        <v>16</v>
      </c>
      <c r="B108" s="11">
        <f>NPV(30%,B104:F104)</f>
        <v>958724303.22279155</v>
      </c>
      <c r="C108" s="4"/>
      <c r="D108" s="4"/>
      <c r="E108" s="4"/>
      <c r="F108" s="4"/>
    </row>
    <row r="109" spans="1:11" x14ac:dyDescent="0.35">
      <c r="A109" s="16" t="s">
        <v>26</v>
      </c>
      <c r="B109" s="4"/>
      <c r="C109" s="4"/>
      <c r="D109" s="4"/>
      <c r="E109" s="4"/>
      <c r="F109" s="4"/>
    </row>
    <row r="111" spans="1:11" ht="16.5" x14ac:dyDescent="0.35">
      <c r="A111" s="22" t="s">
        <v>38</v>
      </c>
      <c r="B111" s="22"/>
      <c r="C111" s="22"/>
      <c r="D111" s="22"/>
    </row>
    <row r="112" spans="1:11" ht="16.5" x14ac:dyDescent="0.35">
      <c r="A112" s="22" t="s">
        <v>41</v>
      </c>
    </row>
    <row r="113" spans="1:1" ht="16.5" x14ac:dyDescent="0.35">
      <c r="A113" s="22" t="s">
        <v>47</v>
      </c>
    </row>
    <row r="114" spans="1:1" ht="16.5" x14ac:dyDescent="0.35">
      <c r="A114" s="22" t="s">
        <v>46</v>
      </c>
    </row>
    <row r="115" spans="1:1" ht="16.5" x14ac:dyDescent="0.35">
      <c r="A115" s="22" t="s">
        <v>45</v>
      </c>
    </row>
  </sheetData>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B1" sqref="B1"/>
    </sheetView>
  </sheetViews>
  <sheetFormatPr defaultRowHeight="14.5" x14ac:dyDescent="0.3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Discounted cash flows </vt: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Andrew Murphy</dc:creator>
  <cp:lastModifiedBy>Breen Byrnes</cp:lastModifiedBy>
  <cp:lastPrinted>2017-05-23T23:40:16Z</cp:lastPrinted>
  <dcterms:created xsi:type="dcterms:W3CDTF">2016-08-09T22:14:29Z</dcterms:created>
  <dcterms:modified xsi:type="dcterms:W3CDTF">2017-05-23T23:42:43Z</dcterms:modified>
</cp:coreProperties>
</file>