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0970" yWindow="-120" windowWidth="10470" windowHeight="7160" activeTab="2"/>
  </bookViews>
  <sheets>
    <sheet name="Main Budget" sheetId="1" r:id="rId1"/>
    <sheet name="Budget Categories" sheetId="8" r:id="rId2"/>
    <sheet name="Sources" sheetId="5" r:id="rId3"/>
    <sheet name="FP Template" sheetId="6" r:id="rId4"/>
    <sheet name="JCC &amp; PMU Set-up" sheetId="4" r:id="rId5"/>
    <sheet name="HIA Patrol" sheetId="3" r:id="rId6"/>
    <sheet name="Budget Annex" sheetId="9" r:id="rId7"/>
  </sheets>
  <definedNames>
    <definedName name="_xlnm.Print_Area" localSheetId="6">'Budget Annex'!$A$1:$I$158</definedName>
    <definedName name="_xlnm.Print_Area" localSheetId="4">'JCC &amp; PMU Set-up'!$A$1:$I$18</definedName>
    <definedName name="_xlnm.Print_Area" localSheetId="0">'Main Budget'!$A$1:$I$158</definedName>
    <definedName name="_xlnm.Print_Titles" localSheetId="6">'Budget Annex'!$4:$4</definedName>
    <definedName name="_xlnm.Print_Titles" localSheetId="0">'Main Budget'!$4:$4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5"/>
  <c r="H158" i="9"/>
  <c r="E157"/>
  <c r="H156"/>
  <c r="H155"/>
  <c r="E154"/>
  <c r="D154"/>
  <c r="C154"/>
  <c r="H153"/>
  <c r="H152"/>
  <c r="H151"/>
  <c r="H150"/>
  <c r="H149"/>
  <c r="H148"/>
  <c r="H147"/>
  <c r="H146"/>
  <c r="H145"/>
  <c r="H144"/>
  <c r="H143"/>
  <c r="G142"/>
  <c r="F142"/>
  <c r="E142"/>
  <c r="D142"/>
  <c r="C142"/>
  <c r="H142" s="1"/>
  <c r="H33" s="1"/>
  <c r="H141"/>
  <c r="H140"/>
  <c r="G139"/>
  <c r="F139"/>
  <c r="E139"/>
  <c r="D139"/>
  <c r="C139"/>
  <c r="H139" s="1"/>
  <c r="H32" s="1"/>
  <c r="E138"/>
  <c r="D138"/>
  <c r="C138"/>
  <c r="F137"/>
  <c r="G137" s="1"/>
  <c r="E137"/>
  <c r="H137" s="1"/>
  <c r="H136"/>
  <c r="E135"/>
  <c r="H134"/>
  <c r="H133"/>
  <c r="C133"/>
  <c r="E132"/>
  <c r="D132"/>
  <c r="C132"/>
  <c r="E131"/>
  <c r="F131" s="1"/>
  <c r="H130"/>
  <c r="H129"/>
  <c r="E128"/>
  <c r="D128"/>
  <c r="C128"/>
  <c r="H127"/>
  <c r="H126"/>
  <c r="H125"/>
  <c r="G124"/>
  <c r="F124"/>
  <c r="E124"/>
  <c r="D124"/>
  <c r="C124"/>
  <c r="H124" s="1"/>
  <c r="H123"/>
  <c r="H122"/>
  <c r="H120"/>
  <c r="H119"/>
  <c r="D118"/>
  <c r="C118"/>
  <c r="H118" s="1"/>
  <c r="H117"/>
  <c r="H116"/>
  <c r="H115"/>
  <c r="H114"/>
  <c r="G113"/>
  <c r="F113"/>
  <c r="E113"/>
  <c r="D113"/>
  <c r="C113"/>
  <c r="H113" s="1"/>
  <c r="E112"/>
  <c r="D112"/>
  <c r="C112"/>
  <c r="G111"/>
  <c r="F111"/>
  <c r="E111"/>
  <c r="D111"/>
  <c r="H111" s="1"/>
  <c r="M48" s="1"/>
  <c r="H110"/>
  <c r="N109"/>
  <c r="H109"/>
  <c r="G108"/>
  <c r="F108"/>
  <c r="E108"/>
  <c r="D108"/>
  <c r="C108"/>
  <c r="H108" s="1"/>
  <c r="H24" s="1"/>
  <c r="H107"/>
  <c r="G106"/>
  <c r="F106"/>
  <c r="E106"/>
  <c r="D106"/>
  <c r="H106" s="1"/>
  <c r="L44" s="1"/>
  <c r="C105"/>
  <c r="H104"/>
  <c r="C103"/>
  <c r="H102"/>
  <c r="H101"/>
  <c r="H100"/>
  <c r="H99"/>
  <c r="H98"/>
  <c r="H97"/>
  <c r="H96"/>
  <c r="H95"/>
  <c r="G94"/>
  <c r="F94"/>
  <c r="E94"/>
  <c r="D94"/>
  <c r="C94"/>
  <c r="H94" s="1"/>
  <c r="H93"/>
  <c r="H92"/>
  <c r="H91"/>
  <c r="H90"/>
  <c r="E89"/>
  <c r="F89" s="1"/>
  <c r="D89"/>
  <c r="E88"/>
  <c r="D88"/>
  <c r="C88"/>
  <c r="C87"/>
  <c r="G86"/>
  <c r="H86" s="1"/>
  <c r="F85"/>
  <c r="G85" s="1"/>
  <c r="G82" s="1"/>
  <c r="G17" s="1"/>
  <c r="H84"/>
  <c r="H83"/>
  <c r="F82"/>
  <c r="E82"/>
  <c r="D82"/>
  <c r="C82"/>
  <c r="D81"/>
  <c r="F81" s="1"/>
  <c r="G81" s="1"/>
  <c r="C80"/>
  <c r="D79"/>
  <c r="E79" s="1"/>
  <c r="C79"/>
  <c r="F78"/>
  <c r="D78"/>
  <c r="C78"/>
  <c r="C77" s="1"/>
  <c r="D76"/>
  <c r="H76" s="1"/>
  <c r="C76"/>
  <c r="D75"/>
  <c r="C75"/>
  <c r="H75" s="1"/>
  <c r="D74"/>
  <c r="C74"/>
  <c r="H74" s="1"/>
  <c r="O45" s="1"/>
  <c r="H73"/>
  <c r="D72"/>
  <c r="C72"/>
  <c r="H72" s="1"/>
  <c r="G71"/>
  <c r="F71"/>
  <c r="E71"/>
  <c r="D71"/>
  <c r="H70"/>
  <c r="C69"/>
  <c r="C68" s="1"/>
  <c r="G68"/>
  <c r="F68"/>
  <c r="E68"/>
  <c r="D68"/>
  <c r="H66"/>
  <c r="H65"/>
  <c r="H64"/>
  <c r="C64"/>
  <c r="H63"/>
  <c r="C63"/>
  <c r="D62"/>
  <c r="D61" s="1"/>
  <c r="D12" s="1"/>
  <c r="C62"/>
  <c r="E62" s="1"/>
  <c r="E61" s="1"/>
  <c r="E12" s="1"/>
  <c r="H60"/>
  <c r="F60"/>
  <c r="E60"/>
  <c r="G59"/>
  <c r="F59"/>
  <c r="E59"/>
  <c r="D59"/>
  <c r="C59"/>
  <c r="H59" s="1"/>
  <c r="H58"/>
  <c r="G57"/>
  <c r="F57"/>
  <c r="E57"/>
  <c r="D57"/>
  <c r="C57"/>
  <c r="H57" s="1"/>
  <c r="D56"/>
  <c r="G56" s="1"/>
  <c r="C56"/>
  <c r="E56" s="1"/>
  <c r="F55"/>
  <c r="E55"/>
  <c r="D55"/>
  <c r="H55" s="1"/>
  <c r="C55"/>
  <c r="G55" s="1"/>
  <c r="C54"/>
  <c r="H53"/>
  <c r="H52"/>
  <c r="O51"/>
  <c r="H51"/>
  <c r="O50"/>
  <c r="M50"/>
  <c r="H50"/>
  <c r="G49"/>
  <c r="G47" s="1"/>
  <c r="G7" s="1"/>
  <c r="F49"/>
  <c r="E49"/>
  <c r="D49"/>
  <c r="C49"/>
  <c r="H49" s="1"/>
  <c r="M42" s="1"/>
  <c r="G48"/>
  <c r="F48"/>
  <c r="E48"/>
  <c r="D48"/>
  <c r="D47" s="1"/>
  <c r="D7" s="1"/>
  <c r="C48"/>
  <c r="O47"/>
  <c r="F47"/>
  <c r="E47"/>
  <c r="M46"/>
  <c r="H46"/>
  <c r="H45"/>
  <c r="D44"/>
  <c r="C44"/>
  <c r="O43"/>
  <c r="M43"/>
  <c r="G43"/>
  <c r="F43"/>
  <c r="E43"/>
  <c r="D43"/>
  <c r="C43"/>
  <c r="L42"/>
  <c r="D42"/>
  <c r="C42"/>
  <c r="E34"/>
  <c r="D34"/>
  <c r="C34"/>
  <c r="G33"/>
  <c r="F33"/>
  <c r="E33"/>
  <c r="D33"/>
  <c r="C33"/>
  <c r="G32"/>
  <c r="F32"/>
  <c r="E32"/>
  <c r="D32"/>
  <c r="C32"/>
  <c r="E31"/>
  <c r="D31"/>
  <c r="C31"/>
  <c r="E30"/>
  <c r="D30"/>
  <c r="C30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E25"/>
  <c r="D25"/>
  <c r="C25"/>
  <c r="G24"/>
  <c r="F24"/>
  <c r="E24"/>
  <c r="D24"/>
  <c r="C24"/>
  <c r="C21"/>
  <c r="G20"/>
  <c r="F20"/>
  <c r="E20"/>
  <c r="D20"/>
  <c r="C20"/>
  <c r="E19"/>
  <c r="D19"/>
  <c r="C19"/>
  <c r="C18"/>
  <c r="F17"/>
  <c r="E17"/>
  <c r="D17"/>
  <c r="C17"/>
  <c r="H17" s="1"/>
  <c r="G15"/>
  <c r="F15"/>
  <c r="E15"/>
  <c r="D15"/>
  <c r="G14"/>
  <c r="F14"/>
  <c r="E14"/>
  <c r="D14"/>
  <c r="G9"/>
  <c r="F9"/>
  <c r="E9"/>
  <c r="D9"/>
  <c r="C9"/>
  <c r="H9" s="1"/>
  <c r="C8"/>
  <c r="F7"/>
  <c r="E7"/>
  <c r="D6"/>
  <c r="C6"/>
  <c r="N109" i="1"/>
  <c r="H48" i="9" l="1"/>
  <c r="O42" s="1"/>
  <c r="H43"/>
  <c r="C47"/>
  <c r="C16"/>
  <c r="F88"/>
  <c r="G89"/>
  <c r="G88" s="1"/>
  <c r="O49"/>
  <c r="H28"/>
  <c r="H82"/>
  <c r="O48" s="1"/>
  <c r="H89"/>
  <c r="N43" s="1"/>
  <c r="L45"/>
  <c r="H27"/>
  <c r="C14"/>
  <c r="H14" s="1"/>
  <c r="H68"/>
  <c r="N44"/>
  <c r="H20"/>
  <c r="H26"/>
  <c r="N46"/>
  <c r="G131"/>
  <c r="G128" s="1"/>
  <c r="F128"/>
  <c r="H128" s="1"/>
  <c r="H29" s="1"/>
  <c r="L41"/>
  <c r="H69"/>
  <c r="N41" s="1"/>
  <c r="N47" s="1"/>
  <c r="E81"/>
  <c r="D105"/>
  <c r="H131"/>
  <c r="M49" s="1"/>
  <c r="G62"/>
  <c r="G61" s="1"/>
  <c r="G12" s="1"/>
  <c r="H81"/>
  <c r="M45" s="1"/>
  <c r="F135"/>
  <c r="F157"/>
  <c r="E44"/>
  <c r="D54"/>
  <c r="F56"/>
  <c r="H56" s="1"/>
  <c r="F62"/>
  <c r="F61" s="1"/>
  <c r="F12" s="1"/>
  <c r="C71"/>
  <c r="H78"/>
  <c r="F79"/>
  <c r="D80"/>
  <c r="E80" s="1"/>
  <c r="F80" s="1"/>
  <c r="G80" s="1"/>
  <c r="H85"/>
  <c r="C61"/>
  <c r="E106" i="1"/>
  <c r="E60"/>
  <c r="C54"/>
  <c r="D57"/>
  <c r="E57"/>
  <c r="F57"/>
  <c r="G57"/>
  <c r="C57"/>
  <c r="G56"/>
  <c r="F56"/>
  <c r="E56"/>
  <c r="D56"/>
  <c r="C56"/>
  <c r="G55"/>
  <c r="F55"/>
  <c r="E55"/>
  <c r="L41" s="1"/>
  <c r="B20" i="6" s="1"/>
  <c r="D55" i="1"/>
  <c r="C55"/>
  <c r="F106"/>
  <c r="D106"/>
  <c r="D81"/>
  <c r="H47" i="9" l="1"/>
  <c r="C7"/>
  <c r="H7" s="1"/>
  <c r="F154"/>
  <c r="G157"/>
  <c r="G154" s="1"/>
  <c r="G29"/>
  <c r="F19"/>
  <c r="H62"/>
  <c r="F29"/>
  <c r="G19"/>
  <c r="D77"/>
  <c r="H71"/>
  <c r="C15"/>
  <c r="H15" s="1"/>
  <c r="E54"/>
  <c r="O41"/>
  <c r="D41"/>
  <c r="D8"/>
  <c r="H80"/>
  <c r="O46" s="1"/>
  <c r="H157"/>
  <c r="H88"/>
  <c r="H19" s="1"/>
  <c r="E77"/>
  <c r="F44"/>
  <c r="E42"/>
  <c r="H61"/>
  <c r="O44" s="1"/>
  <c r="C41"/>
  <c r="C12"/>
  <c r="H12" s="1"/>
  <c r="G79"/>
  <c r="G77" s="1"/>
  <c r="F77"/>
  <c r="G135"/>
  <c r="G132" s="1"/>
  <c r="G30" s="1"/>
  <c r="F132"/>
  <c r="E105"/>
  <c r="D103"/>
  <c r="C67"/>
  <c r="L43"/>
  <c r="G106" i="1"/>
  <c r="C159" i="9" l="1"/>
  <c r="C5"/>
  <c r="E16"/>
  <c r="E67"/>
  <c r="E13" s="1"/>
  <c r="F54"/>
  <c r="E8"/>
  <c r="G34"/>
  <c r="G138"/>
  <c r="G31" s="1"/>
  <c r="H135"/>
  <c r="L46" s="1"/>
  <c r="L47" s="1"/>
  <c r="C13"/>
  <c r="F30"/>
  <c r="H132"/>
  <c r="H30" s="1"/>
  <c r="H10"/>
  <c r="H11" s="1"/>
  <c r="G44"/>
  <c r="F42"/>
  <c r="D16"/>
  <c r="D67"/>
  <c r="D13" s="1"/>
  <c r="H77"/>
  <c r="F112"/>
  <c r="G112"/>
  <c r="G25" s="1"/>
  <c r="H79"/>
  <c r="F105"/>
  <c r="E103"/>
  <c r="G16"/>
  <c r="G67"/>
  <c r="G13" s="1"/>
  <c r="E41"/>
  <c r="E6"/>
  <c r="D5"/>
  <c r="D21"/>
  <c r="D87"/>
  <c r="F16"/>
  <c r="F67"/>
  <c r="F13" s="1"/>
  <c r="F34"/>
  <c r="F138"/>
  <c r="H154"/>
  <c r="A10" i="8"/>
  <c r="A9"/>
  <c r="A8"/>
  <c r="A7"/>
  <c r="A6"/>
  <c r="Q47" i="9" l="1"/>
  <c r="D18"/>
  <c r="D35" s="1"/>
  <c r="G42"/>
  <c r="H44"/>
  <c r="D159"/>
  <c r="F31"/>
  <c r="H138"/>
  <c r="H31" s="1"/>
  <c r="E5"/>
  <c r="G105"/>
  <c r="G103" s="1"/>
  <c r="F103"/>
  <c r="H105"/>
  <c r="F41"/>
  <c r="F6"/>
  <c r="G54"/>
  <c r="F8"/>
  <c r="E21"/>
  <c r="E87"/>
  <c r="E18" s="1"/>
  <c r="E35" s="1"/>
  <c r="F25"/>
  <c r="H112"/>
  <c r="H25" s="1"/>
  <c r="H13"/>
  <c r="C35"/>
  <c r="H16"/>
  <c r="O52"/>
  <c r="O53" s="1"/>
  <c r="H34"/>
  <c r="H67"/>
  <c r="C105" i="1"/>
  <c r="G43"/>
  <c r="F43"/>
  <c r="E43"/>
  <c r="D43"/>
  <c r="C43"/>
  <c r="G49"/>
  <c r="F49"/>
  <c r="E49"/>
  <c r="D49"/>
  <c r="C49"/>
  <c r="G48"/>
  <c r="F48"/>
  <c r="E48"/>
  <c r="D48"/>
  <c r="C48"/>
  <c r="H22" i="4"/>
  <c r="H21"/>
  <c r="H20"/>
  <c r="H19"/>
  <c r="G18"/>
  <c r="F18"/>
  <c r="E18"/>
  <c r="D18"/>
  <c r="C18"/>
  <c r="G21"/>
  <c r="F21"/>
  <c r="E21"/>
  <c r="D21"/>
  <c r="D20"/>
  <c r="E20" s="1"/>
  <c r="F20" s="1"/>
  <c r="G20" s="1"/>
  <c r="D19"/>
  <c r="E19" s="1"/>
  <c r="F19" s="1"/>
  <c r="G19" s="1"/>
  <c r="C11"/>
  <c r="C10"/>
  <c r="E7" i="3"/>
  <c r="D105" i="1"/>
  <c r="E82"/>
  <c r="D82"/>
  <c r="C82"/>
  <c r="G68"/>
  <c r="F68"/>
  <c r="E68"/>
  <c r="D68"/>
  <c r="H43" l="1"/>
  <c r="F5" i="9"/>
  <c r="G21"/>
  <c r="G87"/>
  <c r="G18" s="1"/>
  <c r="G41"/>
  <c r="G6"/>
  <c r="H6" s="1"/>
  <c r="H42"/>
  <c r="G8"/>
  <c r="H54"/>
  <c r="F21"/>
  <c r="F87"/>
  <c r="F18" s="1"/>
  <c r="F35" s="1"/>
  <c r="H103"/>
  <c r="H21" s="1"/>
  <c r="H8"/>
  <c r="E159"/>
  <c r="C14" i="4"/>
  <c r="C12"/>
  <c r="C3"/>
  <c r="C1" s="1"/>
  <c r="H46" i="1"/>
  <c r="H45"/>
  <c r="C44"/>
  <c r="D44" s="1"/>
  <c r="E44" s="1"/>
  <c r="F44" s="1"/>
  <c r="G44" s="1"/>
  <c r="C17" i="4"/>
  <c r="C16"/>
  <c r="C15"/>
  <c r="D15" s="1"/>
  <c r="E15" s="1"/>
  <c r="F15" s="1"/>
  <c r="G15" s="1"/>
  <c r="H8"/>
  <c r="D79" i="1"/>
  <c r="E28" i="3"/>
  <c r="E27"/>
  <c r="E8"/>
  <c r="E22"/>
  <c r="E17"/>
  <c r="E16"/>
  <c r="E15"/>
  <c r="E14"/>
  <c r="E18" s="1"/>
  <c r="E6"/>
  <c r="E5"/>
  <c r="E9" s="1"/>
  <c r="E10" s="1"/>
  <c r="E4"/>
  <c r="E3"/>
  <c r="E157" i="1"/>
  <c r="F157" s="1"/>
  <c r="G157" s="1"/>
  <c r="E137"/>
  <c r="F137" s="1"/>
  <c r="G137" s="1"/>
  <c r="E135"/>
  <c r="F135" s="1"/>
  <c r="G135" s="1"/>
  <c r="C133"/>
  <c r="E131"/>
  <c r="F131" s="1"/>
  <c r="G131" s="1"/>
  <c r="D118"/>
  <c r="C118"/>
  <c r="G111"/>
  <c r="F111"/>
  <c r="E111"/>
  <c r="D111"/>
  <c r="E105"/>
  <c r="F105" s="1"/>
  <c r="G105" s="1"/>
  <c r="E89"/>
  <c r="F89" s="1"/>
  <c r="G89" s="1"/>
  <c r="D89"/>
  <c r="F85"/>
  <c r="E81"/>
  <c r="C76"/>
  <c r="F78"/>
  <c r="D78"/>
  <c r="C78"/>
  <c r="D75"/>
  <c r="C75"/>
  <c r="D74"/>
  <c r="C74"/>
  <c r="D72"/>
  <c r="C72"/>
  <c r="C69"/>
  <c r="C68" s="1"/>
  <c r="C64"/>
  <c r="C63"/>
  <c r="C62"/>
  <c r="G62" s="1"/>
  <c r="F60"/>
  <c r="D54"/>
  <c r="H87" i="9" l="1"/>
  <c r="H18" s="1"/>
  <c r="F159"/>
  <c r="M41"/>
  <c r="M51" s="1"/>
  <c r="H41"/>
  <c r="H22"/>
  <c r="H23"/>
  <c r="G159"/>
  <c r="G5"/>
  <c r="G35" s="1"/>
  <c r="E54" i="1"/>
  <c r="F54" s="1"/>
  <c r="G54" s="1"/>
  <c r="O41"/>
  <c r="G85"/>
  <c r="F82"/>
  <c r="E24" i="3"/>
  <c r="E25" s="1"/>
  <c r="C79" i="1" s="1"/>
  <c r="O47" s="1"/>
  <c r="E79"/>
  <c r="C9" i="4"/>
  <c r="H9" s="1"/>
  <c r="C13"/>
  <c r="E62" i="1"/>
  <c r="F79"/>
  <c r="D62"/>
  <c r="H44"/>
  <c r="H15" i="4"/>
  <c r="D17"/>
  <c r="E17" s="1"/>
  <c r="F17" s="1"/>
  <c r="G17" s="1"/>
  <c r="D12"/>
  <c r="D14"/>
  <c r="D16"/>
  <c r="E16" s="1"/>
  <c r="F16" s="1"/>
  <c r="G16" s="1"/>
  <c r="F62" i="1"/>
  <c r="F81"/>
  <c r="G81" s="1"/>
  <c r="Q41" i="9" l="1"/>
  <c r="M52" s="1"/>
  <c r="H159"/>
  <c r="H5"/>
  <c r="C7" i="4"/>
  <c r="C6" s="1"/>
  <c r="G79" i="1"/>
  <c r="L43" s="1"/>
  <c r="B22" i="6" s="1"/>
  <c r="D7" i="4"/>
  <c r="E12"/>
  <c r="D1"/>
  <c r="H17"/>
  <c r="H18"/>
  <c r="E14"/>
  <c r="D13"/>
  <c r="H16"/>
  <c r="H35" i="9" l="1"/>
  <c r="I5" s="1"/>
  <c r="N48"/>
  <c r="L48"/>
  <c r="O54"/>
  <c r="D6" i="4"/>
  <c r="F14"/>
  <c r="E13"/>
  <c r="E7"/>
  <c r="F12"/>
  <c r="E1"/>
  <c r="I13" i="9" l="1"/>
  <c r="I25"/>
  <c r="I31"/>
  <c r="I18"/>
  <c r="P54"/>
  <c r="E6" i="4"/>
  <c r="F7"/>
  <c r="G12"/>
  <c r="G7" s="1"/>
  <c r="F1"/>
  <c r="F13"/>
  <c r="G14"/>
  <c r="H12" l="1"/>
  <c r="F6"/>
  <c r="G13"/>
  <c r="G6" s="1"/>
  <c r="H14"/>
  <c r="G1"/>
  <c r="H1" s="1"/>
  <c r="H7"/>
  <c r="H13" l="1"/>
  <c r="H6"/>
  <c r="G42" i="1" l="1"/>
  <c r="G6" s="1"/>
  <c r="F42"/>
  <c r="F6" s="1"/>
  <c r="E42"/>
  <c r="E6" s="1"/>
  <c r="D42"/>
  <c r="D6" s="1"/>
  <c r="C17"/>
  <c r="G8"/>
  <c r="G11" i="6" s="1"/>
  <c r="F8" i="1"/>
  <c r="F11" i="6" s="1"/>
  <c r="E8" i="1"/>
  <c r="E11" i="6" s="1"/>
  <c r="D8" i="1"/>
  <c r="D11" i="6" s="1"/>
  <c r="C8" i="1"/>
  <c r="C11" i="6" s="1"/>
  <c r="G108" i="1"/>
  <c r="G24" s="1"/>
  <c r="F108"/>
  <c r="F24" s="1"/>
  <c r="E108"/>
  <c r="E24" s="1"/>
  <c r="D108"/>
  <c r="D24" s="1"/>
  <c r="C108"/>
  <c r="C24" s="1"/>
  <c r="G154"/>
  <c r="G34" s="1"/>
  <c r="F154"/>
  <c r="F34" s="1"/>
  <c r="E154"/>
  <c r="E34" s="1"/>
  <c r="D154"/>
  <c r="D34" s="1"/>
  <c r="C154"/>
  <c r="C34" s="1"/>
  <c r="G142"/>
  <c r="G33" s="1"/>
  <c r="F142"/>
  <c r="F33" s="1"/>
  <c r="E142"/>
  <c r="E33" s="1"/>
  <c r="D142"/>
  <c r="D33" s="1"/>
  <c r="C142"/>
  <c r="C33" s="1"/>
  <c r="G139"/>
  <c r="G32" s="1"/>
  <c r="F139"/>
  <c r="F32" s="1"/>
  <c r="E139"/>
  <c r="E32" s="1"/>
  <c r="D139"/>
  <c r="D32" s="1"/>
  <c r="C139"/>
  <c r="G132"/>
  <c r="G30" s="1"/>
  <c r="F132"/>
  <c r="F30" s="1"/>
  <c r="E132"/>
  <c r="E30" s="1"/>
  <c r="D132"/>
  <c r="D30" s="1"/>
  <c r="C132"/>
  <c r="C30" s="1"/>
  <c r="G128"/>
  <c r="G29" s="1"/>
  <c r="F128"/>
  <c r="F29" s="1"/>
  <c r="E128"/>
  <c r="E29" s="1"/>
  <c r="D128"/>
  <c r="D29" s="1"/>
  <c r="C128"/>
  <c r="C29" s="1"/>
  <c r="G124"/>
  <c r="G28" s="1"/>
  <c r="F124"/>
  <c r="F28" s="1"/>
  <c r="E124"/>
  <c r="E28" s="1"/>
  <c r="D124"/>
  <c r="D28" s="1"/>
  <c r="C124"/>
  <c r="C28" s="1"/>
  <c r="G27"/>
  <c r="F27"/>
  <c r="E27"/>
  <c r="D27"/>
  <c r="C27"/>
  <c r="G113"/>
  <c r="G26" s="1"/>
  <c r="F113"/>
  <c r="F26" s="1"/>
  <c r="E113"/>
  <c r="E26" s="1"/>
  <c r="D113"/>
  <c r="D26" s="1"/>
  <c r="C113"/>
  <c r="C26" s="1"/>
  <c r="G103"/>
  <c r="G21" s="1"/>
  <c r="F103"/>
  <c r="F21" s="1"/>
  <c r="E103"/>
  <c r="E21" s="1"/>
  <c r="D103"/>
  <c r="D21" s="1"/>
  <c r="C103"/>
  <c r="C21" s="1"/>
  <c r="C94"/>
  <c r="C20" s="1"/>
  <c r="G88"/>
  <c r="G19" s="1"/>
  <c r="F88"/>
  <c r="F19" s="1"/>
  <c r="E88"/>
  <c r="E19" s="1"/>
  <c r="D88"/>
  <c r="D19" s="1"/>
  <c r="C88"/>
  <c r="C19" s="1"/>
  <c r="D17"/>
  <c r="C80"/>
  <c r="D76"/>
  <c r="F14"/>
  <c r="E14"/>
  <c r="D14"/>
  <c r="G14"/>
  <c r="C14"/>
  <c r="H85"/>
  <c r="H84"/>
  <c r="H83"/>
  <c r="H81"/>
  <c r="M45" s="1"/>
  <c r="H70"/>
  <c r="M43" s="1"/>
  <c r="G59"/>
  <c r="G9" s="1"/>
  <c r="F59"/>
  <c r="F9" s="1"/>
  <c r="E59"/>
  <c r="D59"/>
  <c r="D9" s="1"/>
  <c r="C59"/>
  <c r="E61"/>
  <c r="E12" s="1"/>
  <c r="C61"/>
  <c r="C12" s="1"/>
  <c r="H57"/>
  <c r="H48"/>
  <c r="O42" s="1"/>
  <c r="H158"/>
  <c r="H157"/>
  <c r="H156"/>
  <c r="H155"/>
  <c r="H153"/>
  <c r="H152"/>
  <c r="H151"/>
  <c r="H150"/>
  <c r="H149"/>
  <c r="H148"/>
  <c r="H147"/>
  <c r="H146"/>
  <c r="H145"/>
  <c r="H144"/>
  <c r="H143"/>
  <c r="H141"/>
  <c r="H140"/>
  <c r="M50" s="1"/>
  <c r="H137"/>
  <c r="H136"/>
  <c r="H135"/>
  <c r="L46" s="1"/>
  <c r="B25" i="6" s="1"/>
  <c r="H134" i="1"/>
  <c r="O51" s="1"/>
  <c r="H133"/>
  <c r="H131"/>
  <c r="M49" s="1"/>
  <c r="H130"/>
  <c r="H129"/>
  <c r="H127"/>
  <c r="H126"/>
  <c r="H125"/>
  <c r="H123"/>
  <c r="H122"/>
  <c r="H120"/>
  <c r="H119"/>
  <c r="H117"/>
  <c r="H116"/>
  <c r="H115"/>
  <c r="H114"/>
  <c r="H111"/>
  <c r="M48" s="1"/>
  <c r="H110"/>
  <c r="H109"/>
  <c r="H107"/>
  <c r="H106"/>
  <c r="L44" s="1"/>
  <c r="H105"/>
  <c r="H104"/>
  <c r="H102"/>
  <c r="H100"/>
  <c r="H95"/>
  <c r="H93"/>
  <c r="H92"/>
  <c r="H91"/>
  <c r="H90"/>
  <c r="M46" s="1"/>
  <c r="H89"/>
  <c r="N43" s="1"/>
  <c r="H65"/>
  <c r="H64"/>
  <c r="H63"/>
  <c r="H60"/>
  <c r="H58"/>
  <c r="H55"/>
  <c r="H53"/>
  <c r="H52"/>
  <c r="H51"/>
  <c r="H50"/>
  <c r="C42"/>
  <c r="B23" i="6" l="1"/>
  <c r="O50" i="1"/>
  <c r="C6"/>
  <c r="H42"/>
  <c r="M41" s="1"/>
  <c r="E9"/>
  <c r="E5" i="6" s="1"/>
  <c r="L42" i="1"/>
  <c r="B21" i="6" s="1"/>
  <c r="C9" i="1"/>
  <c r="C5" i="6" s="1"/>
  <c r="O43" i="1"/>
  <c r="O52"/>
  <c r="H11" i="6"/>
  <c r="D80" i="1"/>
  <c r="D77" s="1"/>
  <c r="D16" s="1"/>
  <c r="C77"/>
  <c r="H139"/>
  <c r="H32" s="1"/>
  <c r="C32"/>
  <c r="H59"/>
  <c r="H8"/>
  <c r="H14"/>
  <c r="C16"/>
  <c r="E17"/>
  <c r="H103"/>
  <c r="H21" s="1"/>
  <c r="H113"/>
  <c r="H118"/>
  <c r="H128"/>
  <c r="H29" s="1"/>
  <c r="H132"/>
  <c r="H30" s="1"/>
  <c r="H108"/>
  <c r="H24" s="1"/>
  <c r="H69"/>
  <c r="N41" s="1"/>
  <c r="C71"/>
  <c r="C15" s="1"/>
  <c r="H62"/>
  <c r="H75"/>
  <c r="D94"/>
  <c r="D20" s="1"/>
  <c r="E80"/>
  <c r="F61"/>
  <c r="F12" s="1"/>
  <c r="F5" i="6" s="1"/>
  <c r="H76" i="1"/>
  <c r="H68"/>
  <c r="D61"/>
  <c r="D12" s="1"/>
  <c r="D5" i="6" s="1"/>
  <c r="H78" i="1"/>
  <c r="D71"/>
  <c r="D15" s="1"/>
  <c r="H124"/>
  <c r="H154"/>
  <c r="H34" s="1"/>
  <c r="H142"/>
  <c r="H33" s="1"/>
  <c r="C138"/>
  <c r="C31" s="1"/>
  <c r="C9" i="6" s="1"/>
  <c r="G138" i="1"/>
  <c r="G31" s="1"/>
  <c r="G9" i="6" s="1"/>
  <c r="F138" i="1"/>
  <c r="F31" s="1"/>
  <c r="F9" i="6" s="1"/>
  <c r="E138" i="1"/>
  <c r="E31" s="1"/>
  <c r="E9" i="6" s="1"/>
  <c r="D138" i="1"/>
  <c r="D31" s="1"/>
  <c r="D9" i="6" s="1"/>
  <c r="G112" i="1"/>
  <c r="G25" s="1"/>
  <c r="G8" i="6" s="1"/>
  <c r="F112" i="1"/>
  <c r="F25" s="1"/>
  <c r="F8" i="6" s="1"/>
  <c r="E112" i="1"/>
  <c r="E25" s="1"/>
  <c r="E8" i="6" s="1"/>
  <c r="D112" i="1"/>
  <c r="D25" s="1"/>
  <c r="D8" i="6" s="1"/>
  <c r="C112" i="1"/>
  <c r="C25" s="1"/>
  <c r="C8" i="6" s="1"/>
  <c r="C87" i="1"/>
  <c r="H97"/>
  <c r="H88"/>
  <c r="H19" s="1"/>
  <c r="C47"/>
  <c r="H28" l="1"/>
  <c r="O49"/>
  <c r="H27"/>
  <c r="L45"/>
  <c r="B24" i="6" s="1"/>
  <c r="M51" i="1"/>
  <c r="B9" i="5" s="1"/>
  <c r="H26" i="1"/>
  <c r="N46"/>
  <c r="H9"/>
  <c r="B26" i="6"/>
  <c r="H23" i="1"/>
  <c r="H22"/>
  <c r="H8" i="6"/>
  <c r="F80" i="1"/>
  <c r="E77"/>
  <c r="E16" s="1"/>
  <c r="C18"/>
  <c r="C7" i="6" s="1"/>
  <c r="D87" i="1"/>
  <c r="C67"/>
  <c r="C13" s="1"/>
  <c r="C6" i="6" s="1"/>
  <c r="H6" i="1"/>
  <c r="F17"/>
  <c r="H49"/>
  <c r="M42" s="1"/>
  <c r="D67"/>
  <c r="D13" s="1"/>
  <c r="D6" i="6" s="1"/>
  <c r="H73" i="1"/>
  <c r="H101"/>
  <c r="H66"/>
  <c r="G61"/>
  <c r="H99"/>
  <c r="E94"/>
  <c r="E20" s="1"/>
  <c r="H98"/>
  <c r="H138"/>
  <c r="H31" s="1"/>
  <c r="H112"/>
  <c r="H25" s="1"/>
  <c r="H9" i="6" l="1"/>
  <c r="B10" i="8"/>
  <c r="L47" i="1"/>
  <c r="B6" i="5" s="1"/>
  <c r="B9" i="8"/>
  <c r="G80" i="1"/>
  <c r="F77"/>
  <c r="F16" s="1"/>
  <c r="D47"/>
  <c r="D18"/>
  <c r="D7" i="6" s="1"/>
  <c r="C41" i="1"/>
  <c r="C5" s="1"/>
  <c r="C35" s="1"/>
  <c r="C7"/>
  <c r="C4" i="6" s="1"/>
  <c r="G86" i="1"/>
  <c r="G82" s="1"/>
  <c r="H61"/>
  <c r="O44" s="1"/>
  <c r="G12"/>
  <c r="E71"/>
  <c r="H74"/>
  <c r="O45" s="1"/>
  <c r="E87"/>
  <c r="G94"/>
  <c r="F94"/>
  <c r="H56"/>
  <c r="H54"/>
  <c r="F71"/>
  <c r="F15" s="1"/>
  <c r="E47"/>
  <c r="D7" l="1"/>
  <c r="D4" i="6" s="1"/>
  <c r="D15" s="1"/>
  <c r="Q47" i="1"/>
  <c r="H86"/>
  <c r="H12"/>
  <c r="G5" i="6"/>
  <c r="H5" s="1"/>
  <c r="G77" i="1"/>
  <c r="G16" s="1"/>
  <c r="H16" s="1"/>
  <c r="H80"/>
  <c r="O46" s="1"/>
  <c r="O53" s="1"/>
  <c r="B8" i="5" s="1"/>
  <c r="D41" i="1"/>
  <c r="C15" i="6"/>
  <c r="C159" i="1"/>
  <c r="E18"/>
  <c r="E7" i="6" s="1"/>
  <c r="F87" i="1"/>
  <c r="F20"/>
  <c r="G87"/>
  <c r="G20"/>
  <c r="E41"/>
  <c r="E5" s="1"/>
  <c r="E7"/>
  <c r="E4" i="6" s="1"/>
  <c r="G17" i="1"/>
  <c r="H82"/>
  <c r="O48" s="1"/>
  <c r="E67"/>
  <c r="E13" s="1"/>
  <c r="E6" i="6" s="1"/>
  <c r="E15" i="1"/>
  <c r="H79"/>
  <c r="G71"/>
  <c r="H72"/>
  <c r="H96"/>
  <c r="H94"/>
  <c r="F67"/>
  <c r="F13" s="1"/>
  <c r="F6" i="6" s="1"/>
  <c r="G47" i="1"/>
  <c r="F47"/>
  <c r="H47" l="1"/>
  <c r="H20"/>
  <c r="N44"/>
  <c r="N47" s="1"/>
  <c r="H10"/>
  <c r="H11" s="1"/>
  <c r="H77"/>
  <c r="E15" i="6"/>
  <c r="D5" i="1"/>
  <c r="D35" s="1"/>
  <c r="D159"/>
  <c r="E159"/>
  <c r="E35"/>
  <c r="F18"/>
  <c r="F7" i="6" s="1"/>
  <c r="G18" i="1"/>
  <c r="G7" i="6" s="1"/>
  <c r="H87" i="1"/>
  <c r="F41"/>
  <c r="F5" s="1"/>
  <c r="F7"/>
  <c r="F4" i="6" s="1"/>
  <c r="F15" s="1"/>
  <c r="G41" i="1"/>
  <c r="G5" s="1"/>
  <c r="G7"/>
  <c r="H17"/>
  <c r="G67"/>
  <c r="G15"/>
  <c r="H15" s="1"/>
  <c r="H71"/>
  <c r="H41"/>
  <c r="H5" s="1"/>
  <c r="Q41" l="1"/>
  <c r="N48" s="1"/>
  <c r="B6" i="8"/>
  <c r="H7" i="6"/>
  <c r="F159" i="1"/>
  <c r="H7"/>
  <c r="G4" i="6"/>
  <c r="H4" s="1"/>
  <c r="H67" i="1"/>
  <c r="H159" s="1"/>
  <c r="G13"/>
  <c r="G35" s="1"/>
  <c r="G159"/>
  <c r="F35"/>
  <c r="H18"/>
  <c r="B10" i="5" l="1"/>
  <c r="C9" s="1"/>
  <c r="B8" i="8"/>
  <c r="M52" i="1"/>
  <c r="L48"/>
  <c r="O54"/>
  <c r="H13"/>
  <c r="G6" i="6"/>
  <c r="H6" s="1"/>
  <c r="H15" s="1"/>
  <c r="P54" i="1" l="1"/>
  <c r="I13"/>
  <c r="H35"/>
  <c r="B7" i="8"/>
  <c r="C8" i="5"/>
  <c r="C6"/>
  <c r="C7"/>
  <c r="G15" i="6"/>
  <c r="I31" i="1" l="1"/>
  <c r="I25"/>
  <c r="I5"/>
  <c r="I18"/>
  <c r="B11" i="8"/>
  <c r="C7" s="1"/>
  <c r="C10" i="5"/>
  <c r="C6" i="8" l="1"/>
  <c r="C10"/>
  <c r="C9"/>
  <c r="C8"/>
  <c r="C11" l="1"/>
</calcChain>
</file>

<file path=xl/sharedStrings.xml><?xml version="1.0" encoding="utf-8"?>
<sst xmlns="http://schemas.openxmlformats.org/spreadsheetml/2006/main" count="946" uniqueCount="273">
  <si>
    <t>#</t>
  </si>
  <si>
    <t>Activity</t>
  </si>
  <si>
    <t>Yr 1</t>
  </si>
  <si>
    <t>Yr 2</t>
  </si>
  <si>
    <t>Yr 3</t>
  </si>
  <si>
    <t>Yr 4</t>
  </si>
  <si>
    <t>Yr 5</t>
  </si>
  <si>
    <t>Notes</t>
  </si>
  <si>
    <t>Operationalizing Joint Coordinating Committee (JCC)</t>
  </si>
  <si>
    <t>Agree JCC roles and targets for Ghana Cocoa Forest Programme (GCFP) implementation</t>
  </si>
  <si>
    <t>Secure and maintain high-level government endorsement for GCFP</t>
  </si>
  <si>
    <t>Coordinate Inter-government collaboration and communication</t>
  </si>
  <si>
    <t>Establish and support operations of Programme Management Unit (PMU)</t>
  </si>
  <si>
    <t>Establish and maintain PMU operations (office, equipment, vehicles, running costs)</t>
  </si>
  <si>
    <t>Recruit PMU staff</t>
  </si>
  <si>
    <t>Prepare GCFP annual plans and implementation reports</t>
  </si>
  <si>
    <t xml:space="preserve">Execute implementation agreements and supervise  GCFP annual plans </t>
  </si>
  <si>
    <t>Coordinate discussions for additional REDD+ and CSC finance</t>
  </si>
  <si>
    <t>Coordinate GCFP MRV, safeguards and data management operations</t>
  </si>
  <si>
    <t>GCFP activity monitoring/MRV/Data management system</t>
  </si>
  <si>
    <t>Update and implement FRL/MRV</t>
  </si>
  <si>
    <t>Link to national NDC/UNFCCC (national communications)</t>
  </si>
  <si>
    <t>Law enforcement of GCFP area</t>
  </si>
  <si>
    <t>Support FC to reduce illegal activities (galamsey, chainsaw, bushfire)</t>
  </si>
  <si>
    <t>Creation of CSC Hotspot Intervention Areas</t>
  </si>
  <si>
    <t>Entry level community engagements and key stakeholder meetings in target HIAs</t>
  </si>
  <si>
    <t>Negotiations leading to formal decision to form HIA for CSC with due FPIC processes</t>
  </si>
  <si>
    <t>Develop HIA governance structures and constitutions</t>
  </si>
  <si>
    <t>Achieve key governance HIA decisions on CSC, ER and financial agreements</t>
  </si>
  <si>
    <t>Ensure appropriate stakeholder communications of HIA progress</t>
  </si>
  <si>
    <t>A. Institutional Coordination and MRV</t>
  </si>
  <si>
    <t>B. Landscape Planning within HIA areas</t>
  </si>
  <si>
    <t>Establish CSC consortium for each HIA</t>
  </si>
  <si>
    <t>Engage key stakeholders (LBCs, CSO, farmers associations, government)</t>
  </si>
  <si>
    <t>Conclude formal agreements with clear roles and responsibilities of the consortium partners</t>
  </si>
  <si>
    <t>Complete HIA landscape management plans</t>
  </si>
  <si>
    <t>Map farms, reserves and other land uses</t>
  </si>
  <si>
    <t>Analyze HIA land uses and deforestation/degradation/enhancement areas</t>
  </si>
  <si>
    <t>Negotiate CSC options and strategies for reducing emissions within HIA</t>
  </si>
  <si>
    <t>Draft landscape management plan for each HIA</t>
  </si>
  <si>
    <t>Public review and validation of HIA landscape management plans</t>
  </si>
  <si>
    <t>Implement HIA landscape management plans</t>
  </si>
  <si>
    <t>Conduct awareness/training on CSC with community leaders and opinion makers</t>
  </si>
  <si>
    <t>Conduct regular patrols of the HIA and confirm land use changes as part of MRV</t>
  </si>
  <si>
    <t>Undertake landuse enhancement activities together with HIA leadership and FC</t>
  </si>
  <si>
    <t>Negotiate grandfathering arrangements for irregular land uses</t>
  </si>
  <si>
    <t>Establish CSC landscape level validation in HIAs</t>
  </si>
  <si>
    <t>Agree criteria and parameters for CSC validation protocol</t>
  </si>
  <si>
    <t>Test draft CSC validation protocol in 1 HIA and revise</t>
  </si>
  <si>
    <t>Implement revised CSC validation protocol across the GCFP</t>
  </si>
  <si>
    <t>Third party auditing and verification</t>
  </si>
  <si>
    <t>C. Increasing Yields via CSC</t>
  </si>
  <si>
    <t>Ghana CSC Good-practices guidelines (on-farm and off-farm)</t>
  </si>
  <si>
    <t>Establish an expert working group, led by Cocobod</t>
  </si>
  <si>
    <t>Review existing best practice recommendations for yield increases, sustainability, and climate-smart</t>
  </si>
  <si>
    <t>Draft guidelines that include on-farm and off-farm elements.</t>
  </si>
  <si>
    <t>Share draft guidelines with stakeholders (including HIA consortium partners) and hold consultations for input and comments.</t>
  </si>
  <si>
    <t>Agree on guidelines for on-farm good-practices for Ghana's CSC.</t>
  </si>
  <si>
    <t>CSC farmer engagement package in HIAs</t>
  </si>
  <si>
    <t>Negotiate distribution of package with HIAs consortium stakeholders</t>
  </si>
  <si>
    <t>Access to planting materials</t>
  </si>
  <si>
    <t>Access to inputs</t>
  </si>
  <si>
    <t>Access to technical extension</t>
  </si>
  <si>
    <t>Access to business extension</t>
  </si>
  <si>
    <t>Access to financial and risk products (credits and insurance)</t>
  </si>
  <si>
    <t>Access to shade-tree planting material/promotion to assistant natural regeneration</t>
  </si>
  <si>
    <t>Premium price on CSC bean</t>
  </si>
  <si>
    <t>HIA CSC consortium implement with cocoa farmers (consortium vary by HIA)</t>
  </si>
  <si>
    <t>Farmers receive Free-prior information about CSC program criteria, responsibilities and benefits</t>
  </si>
  <si>
    <t>Register farmers and implement CSC package</t>
  </si>
  <si>
    <t>Farmers receiving training and access to incentives and benefits through the engagement package</t>
  </si>
  <si>
    <t>Farmers who fail to comply lose access to the package and associated benefits.</t>
  </si>
  <si>
    <t>Increase transparency in cocoa purchases</t>
  </si>
  <si>
    <t>HIA Consortium members ensure that cocoa farmers are paid for the beans that they produce.</t>
  </si>
  <si>
    <t>HIA Consortium members ensure that purchasing clerks are fairly compensated.</t>
  </si>
  <si>
    <t>Spot checks are used to monitor compliance</t>
  </si>
  <si>
    <t>D. Risk management/finance</t>
  </si>
  <si>
    <t>Access to financial credit for CSC</t>
  </si>
  <si>
    <t>Map existing credit channels for CSC farmers</t>
  </si>
  <si>
    <t>Stimulate new credit programs within existent finance institutions</t>
  </si>
  <si>
    <t>Create new facility/fund to develop innovative business approach for CSC</t>
  </si>
  <si>
    <t>Explore loan guaranties</t>
  </si>
  <si>
    <t>Access to yield insurances</t>
  </si>
  <si>
    <t>Access historical yield and weather data</t>
  </si>
  <si>
    <t>Identify insurances companies interested in assessing and developing a product for Ghana's CSC</t>
  </si>
  <si>
    <t xml:space="preserve">Guarantee funds for insurance premium payments for short-term (piloting) and long-term </t>
  </si>
  <si>
    <t>Pilot and test CSC's insurance product in 1 HIAs</t>
  </si>
  <si>
    <t>Implement the insurance product across GCFP</t>
  </si>
  <si>
    <t>Marketing additional ERs above FCPF</t>
  </si>
  <si>
    <t>Assess additional opportunities for accessing REDD+ finance</t>
  </si>
  <si>
    <t>Package and present the GCFP to potential investors and funders</t>
  </si>
  <si>
    <t>Additional long term funds secured for the GCFP</t>
  </si>
  <si>
    <t>Branding ER Cocoa/marketing</t>
  </si>
  <si>
    <t>Develop market studies and demand for Ghana's CSC</t>
  </si>
  <si>
    <t>Design and develop Ghana's CSC brand</t>
  </si>
  <si>
    <t>Stimulate demand and sell Ghana's CSC</t>
  </si>
  <si>
    <t>Sustainable Finance of HIAs</t>
  </si>
  <si>
    <t>Identify diverse long-term financial sources to support HIA governance</t>
  </si>
  <si>
    <t>Plan and develop financial plan for HIA governance</t>
  </si>
  <si>
    <t>Support start-up costs of HIA financial plan for 5 years</t>
  </si>
  <si>
    <t>Establish trust fund with 3rd party financial management</t>
  </si>
  <si>
    <t>Implement financial sustainability for HIA</t>
  </si>
  <si>
    <t>E. Legislative and Policy Reform</t>
  </si>
  <si>
    <t>Passage of legislation</t>
  </si>
  <si>
    <t>Ensure passage of Forest Wildlife Bill legislative instrument</t>
  </si>
  <si>
    <t>Support parliamentary sub-committee engagements leading to LI passage</t>
  </si>
  <si>
    <t>Reform and implementation guidance of government policies</t>
  </si>
  <si>
    <t>Tree-tenure reforms</t>
  </si>
  <si>
    <t>2.1.1</t>
  </si>
  <si>
    <r>
      <t xml:space="preserve">All HIAs are approved to pilot new tree-tenure arrangements (tree passport and </t>
    </r>
    <r>
      <rPr>
        <sz val="9"/>
        <color rgb="FFDD0806"/>
        <rFont val="Arial"/>
        <family val="2"/>
      </rPr>
      <t>XX</t>
    </r>
    <r>
      <rPr>
        <sz val="9"/>
        <color theme="1"/>
        <rFont val="Arial"/>
        <family val="2"/>
      </rPr>
      <t>)</t>
    </r>
  </si>
  <si>
    <t>2.1.2</t>
  </si>
  <si>
    <t>Independent studies within HIAs on tree-tenure arrangements</t>
  </si>
  <si>
    <t>2.1.3</t>
  </si>
  <si>
    <t>Prepare tree-tenure policy implementation guidelines</t>
  </si>
  <si>
    <t>Clarification of carbon transaction rights + benefit-sharing agreements for GCFP</t>
  </si>
  <si>
    <t>2.2.1</t>
  </si>
  <si>
    <t>Independent studies on transaction rights at multiple scales and benefit-sharing agreements</t>
  </si>
  <si>
    <t>2.2.2</t>
  </si>
  <si>
    <t>All HIAs approved to innovate carbon transaction and benefit-sharing agreements</t>
  </si>
  <si>
    <t>2.2.3</t>
  </si>
  <si>
    <t>Independent review on innovative carbon transactions</t>
  </si>
  <si>
    <t>Reform of Cocoa Farm input system</t>
  </si>
  <si>
    <t>2.3.1</t>
  </si>
  <si>
    <t>All HIAs are approved to pilot farm input reforms</t>
  </si>
  <si>
    <t>2.3.2</t>
  </si>
  <si>
    <t>Independent review on farm input pilots</t>
  </si>
  <si>
    <t>Modification to customary norms and practices</t>
  </si>
  <si>
    <t>Promote evolution away of perverse traditional land-use practices at Cocoa sector</t>
  </si>
  <si>
    <t>3.1.1</t>
  </si>
  <si>
    <t>Independent studies in HIAs to identify perverse land use norms</t>
  </si>
  <si>
    <t>3.1.2</t>
  </si>
  <si>
    <t>Support negotiation with traditional leaderships for HIAs level reforms</t>
  </si>
  <si>
    <t>3.1.3</t>
  </si>
  <si>
    <t>Independent review on implementation of land use reforms</t>
  </si>
  <si>
    <t>Estimate</t>
  </si>
  <si>
    <t>Total</t>
  </si>
  <si>
    <t>N/A</t>
  </si>
  <si>
    <t>Maintain Operations</t>
  </si>
  <si>
    <t>Purchase vehicles</t>
  </si>
  <si>
    <t>Purchase furniture and office equipment</t>
  </si>
  <si>
    <t>Procure and rent office</t>
  </si>
  <si>
    <t>Establish operations of PMU</t>
  </si>
  <si>
    <t>Fuel &amp; Maintenance</t>
  </si>
  <si>
    <t>Utilities</t>
  </si>
  <si>
    <t>Stationary</t>
  </si>
  <si>
    <t>Bank Charges</t>
  </si>
  <si>
    <t>Estimate:  $10K/month</t>
  </si>
  <si>
    <t>Estimate:  $1500/month</t>
  </si>
  <si>
    <t>Estimate:  $1,000/month</t>
  </si>
  <si>
    <t>Estimate:  $400/month</t>
  </si>
  <si>
    <t>1@60K, 2@25K, 6@12K+5% increment</t>
  </si>
  <si>
    <t>See detail lines</t>
  </si>
  <si>
    <t>Detailed Budget</t>
  </si>
  <si>
    <t>Summary Budget</t>
  </si>
  <si>
    <t>TOTAL</t>
  </si>
  <si>
    <t>GCFP ER Implementation Budget</t>
  </si>
  <si>
    <t>Annual support budget</t>
  </si>
  <si>
    <t>4 meetings/year @ $5K USD each</t>
  </si>
  <si>
    <t>$100/meeting X 200 Communities/HIA</t>
  </si>
  <si>
    <t>15 meetings @ $2,500 each per HIA</t>
  </si>
  <si>
    <t>$20K/HIA</t>
  </si>
  <si>
    <t>10,000/HIA</t>
  </si>
  <si>
    <t>$200K/HIA frontloaded in year 1 @ 60%</t>
  </si>
  <si>
    <t>$20K/HIA frontloaded in year 1 @ 60%</t>
  </si>
  <si>
    <t>$25K/HIA, years 1,2, &amp; 4</t>
  </si>
  <si>
    <t>2 meetings per HIA @$2K each</t>
  </si>
  <si>
    <t>$20K/HIA each in years 1 &amp; 2</t>
  </si>
  <si>
    <t>VCS grant likely</t>
  </si>
  <si>
    <t>covered in C.1.2</t>
  </si>
  <si>
    <t>covered in C.2.1</t>
  </si>
  <si>
    <t>cost of $25USD/hectre (PLACE HOLDER</t>
  </si>
  <si>
    <t>Item</t>
  </si>
  <si>
    <t>Quantity</t>
  </si>
  <si>
    <t>Motorcycle</t>
  </si>
  <si>
    <t>Cost</t>
  </si>
  <si>
    <t>GPS</t>
  </si>
  <si>
    <t>Laptops</t>
  </si>
  <si>
    <t>Tablets</t>
  </si>
  <si>
    <t>Wellington boots</t>
  </si>
  <si>
    <t>Raincoat</t>
  </si>
  <si>
    <t>Machete</t>
  </si>
  <si>
    <t>Bicycle</t>
  </si>
  <si>
    <t>HIA Patrol Allowances</t>
  </si>
  <si>
    <t>Monthly allowance</t>
  </si>
  <si>
    <t>Months</t>
  </si>
  <si>
    <t>HIA Patrol Equipment - one time with 50% replacement</t>
  </si>
  <si>
    <t>50% replacement cost</t>
  </si>
  <si>
    <t>HIA Patrol Equipment - Annual</t>
  </si>
  <si>
    <t>Set-up per HIA</t>
  </si>
  <si>
    <t>Set-up for 6 HIAs</t>
  </si>
  <si>
    <t>Annual Maintenance per HIA</t>
  </si>
  <si>
    <t>Annual Maint. For 6 HIAs</t>
  </si>
  <si>
    <t>See budget details</t>
  </si>
  <si>
    <t>Establish JCC</t>
  </si>
  <si>
    <t>See budget detail</t>
  </si>
  <si>
    <t>Purchase Totyota Prado (2)</t>
  </si>
  <si>
    <t>Purchase Toyota Pick-up</t>
  </si>
  <si>
    <t>4,000/month</t>
  </si>
  <si>
    <t>6@35,000, 2@60000</t>
  </si>
  <si>
    <t>REDD</t>
  </si>
  <si>
    <t>PS</t>
  </si>
  <si>
    <t>Grant</t>
  </si>
  <si>
    <t>Funding Sources</t>
  </si>
  <si>
    <t>Summary</t>
  </si>
  <si>
    <t xml:space="preserve">Source </t>
  </si>
  <si>
    <t>REDD+ Funding</t>
  </si>
  <si>
    <t>Private Sector</t>
  </si>
  <si>
    <t>Grants</t>
  </si>
  <si>
    <t>GRAND TOTAL</t>
  </si>
  <si>
    <t>Software licenses</t>
  </si>
  <si>
    <t>Costs related to administrative oversight of the ER Program</t>
  </si>
  <si>
    <t>Operational and implementation costs related to the actions and interventions that are part of the ER Program</t>
  </si>
  <si>
    <t>(add separate rows for each of the ER Program Measures identified in section 4.3</t>
  </si>
  <si>
    <t>Financing costs (e.g., interest payments on loans)</t>
  </si>
  <si>
    <t>Costs related to stakeholder consultations and information sharing</t>
  </si>
  <si>
    <t xml:space="preserve">Other costs </t>
  </si>
  <si>
    <t>ITEM</t>
  </si>
  <si>
    <t>DESCRIPTION</t>
  </si>
  <si>
    <t>Year 1</t>
  </si>
  <si>
    <t>Year 2</t>
  </si>
  <si>
    <t>Year 3</t>
  </si>
  <si>
    <t>Year 4</t>
  </si>
  <si>
    <t>Year 5</t>
  </si>
  <si>
    <t>Items A1 &amp; A2, Set-up of the JCC and the PMU</t>
  </si>
  <si>
    <t>Items A3:  GCFP activity monitoring/MRV/Data management system</t>
  </si>
  <si>
    <t>Items A4 &amp; A5: Law Enforcement and Indetification of CSC Hotposts</t>
  </si>
  <si>
    <t>$58000 each tax/dutiy free</t>
  </si>
  <si>
    <t>Purchase Totyota Prado Deisel (2)</t>
  </si>
  <si>
    <t>$37900 each tax/duty free</t>
  </si>
  <si>
    <t>Purchase Toyota Hilux Pick-up (6)</t>
  </si>
  <si>
    <t>2.2.4</t>
  </si>
  <si>
    <t>PMU Coordinator</t>
  </si>
  <si>
    <t>Senior PMU Offiicers</t>
  </si>
  <si>
    <t>Junior PMU Officers</t>
  </si>
  <si>
    <t>Consultants</t>
  </si>
  <si>
    <t>1 @ $60K gross</t>
  </si>
  <si>
    <t>2 @ $25K gross</t>
  </si>
  <si>
    <t>4 @ $12K gross</t>
  </si>
  <si>
    <t>4@ $40K annually</t>
  </si>
  <si>
    <t>2.3.3</t>
  </si>
  <si>
    <t>2.3.4</t>
  </si>
  <si>
    <t>Annex 1: Summary of financial plan</t>
  </si>
  <si>
    <t>Government</t>
  </si>
  <si>
    <t>%</t>
  </si>
  <si>
    <t xml:space="preserve"> </t>
  </si>
  <si>
    <t>Govt FC</t>
  </si>
  <si>
    <t>Govt CB</t>
  </si>
  <si>
    <t>Budget Categories</t>
  </si>
  <si>
    <t>Branding ER Cocoa/marketing (Cocoa Standard)</t>
  </si>
  <si>
    <t xml:space="preserve">Gov </t>
  </si>
  <si>
    <t>Gov</t>
  </si>
  <si>
    <t>Gov REDD</t>
  </si>
  <si>
    <t>Grant Gov</t>
  </si>
  <si>
    <t xml:space="preserve">Grant  </t>
  </si>
  <si>
    <t>Grant PS</t>
  </si>
  <si>
    <t>PS Gov REDD</t>
  </si>
  <si>
    <t>REDD Grant</t>
  </si>
  <si>
    <t>Gov Grant</t>
  </si>
  <si>
    <t>Safeguards</t>
  </si>
  <si>
    <t>Gov = 10 million</t>
  </si>
  <si>
    <t>PS Gov</t>
  </si>
  <si>
    <t>IDH WCF</t>
  </si>
  <si>
    <t>Grant REDD</t>
  </si>
  <si>
    <t>GCFRP activity monitoring/MRV/Safeguards/Data management system</t>
  </si>
  <si>
    <t>Costs related to the Implementation of Benefit Sharing Plan</t>
  </si>
  <si>
    <t>Operate and maintain data management systems for GCFP (Registry and SIS)</t>
  </si>
  <si>
    <t>Monitoring activity implementation performance in HIA (Safeguards, FGRM, M&amp;E)</t>
  </si>
  <si>
    <t>Costs related to development and operation of monitoring systems ( Reference Level and Forest Monitoring, Safeguards, FGRM, SIS, Registry);</t>
  </si>
  <si>
    <t>*Costs related to stakeholder consultations and information sharing are built into all activites and not separate budget line.</t>
  </si>
  <si>
    <t>See * below</t>
  </si>
  <si>
    <t>Proposed Benefit Sharing investments from result based payments from CF</t>
  </si>
  <si>
    <t>Amount</t>
  </si>
  <si>
    <t>*Costs related to the Implementation of Benefit Sharing Plan have yet to be determined as BSP is still in draft form.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</si>
</sst>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  <font>
      <sz val="9"/>
      <color rgb="FFDD0806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sz val="9"/>
      <color theme="0"/>
      <name val="Arial"/>
      <family val="2"/>
    </font>
    <font>
      <u/>
      <sz val="9"/>
      <color theme="10"/>
      <name val="Arial"/>
      <family val="2"/>
    </font>
    <font>
      <b/>
      <sz val="14"/>
      <color theme="1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0" xfId="0" applyFont="1"/>
    <xf numFmtId="0" fontId="4" fillId="4" borderId="0" xfId="0" applyFont="1" applyFill="1"/>
    <xf numFmtId="0" fontId="4" fillId="3" borderId="0" xfId="0" applyFont="1" applyFill="1" applyAlignment="1">
      <alignment horizontal="left"/>
    </xf>
    <xf numFmtId="0" fontId="7" fillId="0" borderId="0" xfId="0" applyFont="1"/>
    <xf numFmtId="164" fontId="0" fillId="0" borderId="1" xfId="1" applyNumberFormat="1" applyFont="1" applyBorder="1"/>
    <xf numFmtId="0" fontId="6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/>
    </xf>
    <xf numFmtId="0" fontId="8" fillId="0" borderId="1" xfId="0" applyFont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4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12" fillId="0" borderId="0" xfId="0" applyFont="1"/>
    <xf numFmtId="164" fontId="7" fillId="0" borderId="0" xfId="1" applyNumberFormat="1" applyFont="1"/>
    <xf numFmtId="164" fontId="13" fillId="4" borderId="0" xfId="1" applyNumberFormat="1" applyFont="1" applyFill="1" applyAlignment="1">
      <alignment horizontal="center"/>
    </xf>
    <xf numFmtId="164" fontId="13" fillId="3" borderId="0" xfId="1" applyNumberFormat="1" applyFont="1" applyFill="1" applyAlignment="1">
      <alignment horizontal="center"/>
    </xf>
    <xf numFmtId="164" fontId="7" fillId="2" borderId="1" xfId="1" applyNumberFormat="1" applyFont="1" applyFill="1" applyBorder="1"/>
    <xf numFmtId="164" fontId="7" fillId="0" borderId="1" xfId="1" applyNumberFormat="1" applyFont="1" applyBorder="1"/>
    <xf numFmtId="164" fontId="7" fillId="0" borderId="0" xfId="1" applyNumberFormat="1" applyFont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14" fillId="0" borderId="0" xfId="2" applyFont="1"/>
    <xf numFmtId="164" fontId="13" fillId="3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/>
    <xf numFmtId="0" fontId="6" fillId="0" borderId="0" xfId="0" applyFont="1"/>
    <xf numFmtId="0" fontId="6" fillId="2" borderId="0" xfId="0" applyFont="1" applyFill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6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>
      <alignment vertical="center"/>
    </xf>
    <xf numFmtId="164" fontId="6" fillId="7" borderId="1" xfId="1" applyNumberFormat="1" applyFont="1" applyFill="1" applyBorder="1"/>
    <xf numFmtId="0" fontId="2" fillId="7" borderId="0" xfId="0" applyFont="1" applyFill="1"/>
    <xf numFmtId="0" fontId="6" fillId="7" borderId="0" xfId="0" applyFont="1" applyFill="1" applyBorder="1" applyAlignment="1">
      <alignment horizontal="right" vertical="center"/>
    </xf>
    <xf numFmtId="0" fontId="6" fillId="7" borderId="0" xfId="0" applyFont="1" applyFill="1" applyBorder="1" applyAlignment="1">
      <alignment vertical="center"/>
    </xf>
    <xf numFmtId="164" fontId="6" fillId="7" borderId="0" xfId="1" applyNumberFormat="1" applyFont="1" applyFill="1" applyBorder="1"/>
    <xf numFmtId="164" fontId="7" fillId="6" borderId="1" xfId="1" applyNumberFormat="1" applyFont="1" applyFill="1" applyBorder="1" applyAlignment="1">
      <alignment horizontal="center"/>
    </xf>
    <xf numFmtId="164" fontId="7" fillId="6" borderId="1" xfId="1" applyNumberFormat="1" applyFont="1" applyFill="1" applyBorder="1"/>
    <xf numFmtId="0" fontId="0" fillId="0" borderId="1" xfId="0" applyBorder="1"/>
    <xf numFmtId="44" fontId="0" fillId="0" borderId="0" xfId="1" applyFont="1"/>
    <xf numFmtId="0" fontId="16" fillId="3" borderId="0" xfId="0" applyFont="1" applyFill="1"/>
    <xf numFmtId="0" fontId="17" fillId="3" borderId="0" xfId="0" applyFont="1" applyFill="1"/>
    <xf numFmtId="0" fontId="2" fillId="8" borderId="2" xfId="0" applyFont="1" applyFill="1" applyBorder="1"/>
    <xf numFmtId="0" fontId="2" fillId="8" borderId="3" xfId="0" applyFont="1" applyFill="1" applyBorder="1"/>
    <xf numFmtId="0" fontId="2" fillId="8" borderId="4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164" fontId="2" fillId="0" borderId="1" xfId="1" applyNumberFormat="1" applyFont="1" applyBorder="1"/>
    <xf numFmtId="0" fontId="2" fillId="8" borderId="1" xfId="0" applyFont="1" applyFill="1" applyBorder="1"/>
    <xf numFmtId="6" fontId="0" fillId="0" borderId="1" xfId="1" applyNumberFormat="1" applyFont="1" applyBorder="1"/>
    <xf numFmtId="164" fontId="0" fillId="0" borderId="0" xfId="0" applyNumberFormat="1"/>
    <xf numFmtId="0" fontId="0" fillId="7" borderId="0" xfId="0" applyFont="1" applyFill="1"/>
    <xf numFmtId="0" fontId="0" fillId="0" borderId="0" xfId="0" applyFont="1"/>
    <xf numFmtId="0" fontId="18" fillId="0" borderId="5" xfId="0" applyFont="1" applyBorder="1" applyAlignment="1">
      <alignment horizontal="left" vertical="center" wrapText="1" indent="2"/>
    </xf>
    <xf numFmtId="0" fontId="18" fillId="0" borderId="6" xfId="0" applyFont="1" applyBorder="1" applyAlignment="1">
      <alignment horizontal="left" vertical="center" wrapText="1" indent="2"/>
    </xf>
    <xf numFmtId="0" fontId="18" fillId="0" borderId="1" xfId="0" applyFont="1" applyBorder="1" applyAlignment="1">
      <alignment horizontal="left" vertical="center" wrapText="1" indent="2"/>
    </xf>
    <xf numFmtId="0" fontId="18" fillId="0" borderId="2" xfId="0" applyFont="1" applyBorder="1" applyAlignment="1">
      <alignment horizontal="left" vertical="center" wrapText="1" indent="2"/>
    </xf>
    <xf numFmtId="0" fontId="18" fillId="0" borderId="8" xfId="0" applyFont="1" applyBorder="1" applyAlignment="1">
      <alignment horizontal="left" vertical="center" wrapText="1" indent="2"/>
    </xf>
    <xf numFmtId="0" fontId="18" fillId="0" borderId="9" xfId="0" applyFont="1" applyBorder="1" applyAlignment="1">
      <alignment horizontal="left" vertical="center" wrapText="1" indent="2"/>
    </xf>
    <xf numFmtId="0" fontId="18" fillId="0" borderId="10" xfId="0" applyFont="1" applyBorder="1" applyAlignment="1">
      <alignment horizontal="left" vertical="center" wrapText="1" indent="2"/>
    </xf>
    <xf numFmtId="0" fontId="18" fillId="0" borderId="1" xfId="0" applyFont="1" applyFill="1" applyBorder="1" applyAlignment="1">
      <alignment horizontal="left" vertical="center" wrapText="1" indent="2"/>
    </xf>
    <xf numFmtId="164" fontId="18" fillId="0" borderId="1" xfId="1" applyNumberFormat="1" applyFont="1" applyBorder="1" applyAlignment="1">
      <alignment horizontal="left" vertical="center" wrapText="1" indent="2"/>
    </xf>
    <xf numFmtId="0" fontId="19" fillId="0" borderId="10" xfId="0" applyFont="1" applyBorder="1" applyAlignment="1">
      <alignment horizontal="left" vertical="center" wrapText="1" indent="2"/>
    </xf>
    <xf numFmtId="164" fontId="19" fillId="0" borderId="1" xfId="1" applyNumberFormat="1" applyFont="1" applyBorder="1" applyAlignment="1">
      <alignment horizontal="left" vertical="center" wrapText="1" indent="2"/>
    </xf>
    <xf numFmtId="0" fontId="7" fillId="0" borderId="0" xfId="0" applyFont="1" applyAlignment="1">
      <alignment horizontal="left"/>
    </xf>
    <xf numFmtId="164" fontId="6" fillId="9" borderId="1" xfId="1" applyNumberFormat="1" applyFont="1" applyFill="1" applyBorder="1"/>
    <xf numFmtId="0" fontId="6" fillId="9" borderId="1" xfId="0" applyFont="1" applyFill="1" applyBorder="1" applyAlignment="1">
      <alignment horizontal="right" vertical="center"/>
    </xf>
    <xf numFmtId="0" fontId="6" fillId="9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164" fontId="7" fillId="0" borderId="7" xfId="1" applyNumberFormat="1" applyFont="1" applyFill="1" applyBorder="1"/>
    <xf numFmtId="0" fontId="7" fillId="0" borderId="7" xfId="0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  <xf numFmtId="0" fontId="0" fillId="0" borderId="13" xfId="0" applyBorder="1"/>
    <xf numFmtId="0" fontId="2" fillId="0" borderId="14" xfId="0" applyFont="1" applyBorder="1"/>
    <xf numFmtId="0" fontId="4" fillId="4" borderId="15" xfId="0" applyFont="1" applyFill="1" applyBorder="1" applyAlignment="1">
      <alignment horizontal="left"/>
    </xf>
    <xf numFmtId="0" fontId="4" fillId="4" borderId="16" xfId="0" applyFont="1" applyFill="1" applyBorder="1"/>
    <xf numFmtId="0" fontId="20" fillId="0" borderId="0" xfId="0" applyFont="1" applyAlignment="1">
      <alignment horizontal="left" vertical="center" indent="2"/>
    </xf>
    <xf numFmtId="0" fontId="0" fillId="0" borderId="17" xfId="0" applyBorder="1"/>
    <xf numFmtId="164" fontId="0" fillId="0" borderId="18" xfId="1" applyNumberFormat="1" applyFont="1" applyBorder="1"/>
    <xf numFmtId="164" fontId="0" fillId="0" borderId="2" xfId="1" applyNumberFormat="1" applyFont="1" applyBorder="1"/>
    <xf numFmtId="164" fontId="2" fillId="0" borderId="19" xfId="0" applyNumberFormat="1" applyFont="1" applyBorder="1"/>
    <xf numFmtId="165" fontId="0" fillId="0" borderId="1" xfId="3" applyNumberFormat="1" applyFont="1" applyBorder="1"/>
    <xf numFmtId="9" fontId="2" fillId="0" borderId="1" xfId="3" applyFont="1" applyBorder="1"/>
    <xf numFmtId="0" fontId="4" fillId="3" borderId="12" xfId="0" applyFont="1" applyFill="1" applyBorder="1" applyAlignment="1">
      <alignment horizontal="center"/>
    </xf>
    <xf numFmtId="164" fontId="2" fillId="7" borderId="0" xfId="0" applyNumberFormat="1" applyFont="1" applyFill="1"/>
    <xf numFmtId="0" fontId="7" fillId="0" borderId="0" xfId="0" applyFont="1" applyAlignment="1">
      <alignment wrapText="1"/>
    </xf>
    <xf numFmtId="0" fontId="13" fillId="4" borderId="0" xfId="0" applyFont="1" applyFill="1" applyAlignment="1">
      <alignment wrapText="1"/>
    </xf>
    <xf numFmtId="0" fontId="13" fillId="3" borderId="0" xfId="0" applyFont="1" applyFill="1" applyAlignment="1">
      <alignment wrapText="1"/>
    </xf>
    <xf numFmtId="0" fontId="6" fillId="7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0" borderId="0" xfId="0" quotePrefix="1" applyFont="1" applyAlignment="1">
      <alignment wrapText="1"/>
    </xf>
    <xf numFmtId="164" fontId="7" fillId="0" borderId="8" xfId="1" applyNumberFormat="1" applyFont="1" applyFill="1" applyBorder="1" applyAlignment="1">
      <alignment horizontal="center"/>
    </xf>
    <xf numFmtId="164" fontId="3" fillId="0" borderId="0" xfId="0" applyNumberFormat="1" applyFont="1"/>
    <xf numFmtId="164" fontId="2" fillId="0" borderId="0" xfId="0" applyNumberFormat="1" applyFont="1"/>
    <xf numFmtId="164" fontId="0" fillId="0" borderId="0" xfId="0" applyNumberFormat="1" applyFont="1"/>
    <xf numFmtId="164" fontId="6" fillId="0" borderId="0" xfId="0" applyNumberFormat="1" applyFont="1" applyAlignment="1">
      <alignment wrapText="1"/>
    </xf>
    <xf numFmtId="164" fontId="7" fillId="0" borderId="0" xfId="0" applyNumberFormat="1" applyFont="1" applyAlignment="1">
      <alignment wrapText="1"/>
    </xf>
    <xf numFmtId="164" fontId="0" fillId="0" borderId="0" xfId="1" applyNumberFormat="1" applyFont="1"/>
    <xf numFmtId="0" fontId="18" fillId="0" borderId="20" xfId="0" applyFont="1" applyFill="1" applyBorder="1" applyAlignment="1">
      <alignment horizontal="left" vertical="center" indent="2"/>
    </xf>
    <xf numFmtId="0" fontId="18" fillId="0" borderId="0" xfId="0" applyFont="1" applyFill="1" applyBorder="1" applyAlignment="1">
      <alignment horizontal="left" vertical="center" indent="2"/>
    </xf>
    <xf numFmtId="166" fontId="0" fillId="0" borderId="21" xfId="4" applyNumberFormat="1" applyFont="1" applyBorder="1" applyAlignment="1"/>
    <xf numFmtId="0" fontId="7" fillId="0" borderId="13" xfId="0" applyFont="1" applyFill="1" applyBorder="1" applyAlignment="1">
      <alignment vertical="center"/>
    </xf>
    <xf numFmtId="0" fontId="7" fillId="5" borderId="13" xfId="0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166" fontId="0" fillId="0" borderId="21" xfId="4" applyNumberFormat="1" applyFont="1" applyBorder="1"/>
    <xf numFmtId="0" fontId="7" fillId="0" borderId="22" xfId="0" applyFont="1" applyBorder="1" applyAlignment="1">
      <alignment vertical="center"/>
    </xf>
    <xf numFmtId="166" fontId="0" fillId="0" borderId="23" xfId="4" applyNumberFormat="1" applyFont="1" applyBorder="1" applyAlignment="1"/>
    <xf numFmtId="0" fontId="7" fillId="0" borderId="17" xfId="0" applyFont="1" applyFill="1" applyBorder="1" applyAlignment="1">
      <alignment vertical="center"/>
    </xf>
    <xf numFmtId="166" fontId="0" fillId="0" borderId="26" xfId="4" applyNumberFormat="1" applyFont="1" applyBorder="1" applyAlignment="1"/>
    <xf numFmtId="0" fontId="6" fillId="10" borderId="24" xfId="0" applyFont="1" applyFill="1" applyBorder="1" applyAlignment="1">
      <alignment vertical="center"/>
    </xf>
    <xf numFmtId="166" fontId="2" fillId="10" borderId="25" xfId="4" applyNumberFormat="1" applyFont="1" applyFill="1" applyBorder="1" applyAlignment="1"/>
    <xf numFmtId="0" fontId="2" fillId="10" borderId="24" xfId="0" applyFont="1" applyFill="1" applyBorder="1"/>
    <xf numFmtId="0" fontId="2" fillId="10" borderId="25" xfId="0" applyFont="1" applyFill="1" applyBorder="1"/>
  </cellXfs>
  <cellStyles count="5">
    <cellStyle name="Comma" xfId="4" builtinId="3"/>
    <cellStyle name="Currency" xfId="1" builtinId="4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4@%20$40K%20annually" TargetMode="External"/><Relationship Id="rId1" Type="http://schemas.openxmlformats.org/officeDocument/2006/relationships/hyperlink" Target="mailto:5@40,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9"/>
  <sheetViews>
    <sheetView topLeftCell="A13" zoomScaleNormal="100" zoomScalePageLayoutView="90" workbookViewId="0">
      <selection activeCell="P28" sqref="P28"/>
    </sheetView>
  </sheetViews>
  <sheetFormatPr defaultRowHeight="14.5"/>
  <cols>
    <col min="1" max="1" width="6.7265625" style="20" customWidth="1"/>
    <col min="2" max="2" width="52.54296875" customWidth="1"/>
    <col min="3" max="3" width="15.7265625" style="23" customWidth="1"/>
    <col min="4" max="4" width="17.453125" style="23" customWidth="1"/>
    <col min="5" max="5" width="15.7265625" style="23" customWidth="1"/>
    <col min="6" max="6" width="16" style="23" customWidth="1"/>
    <col min="7" max="7" width="18.54296875" style="23" customWidth="1"/>
    <col min="8" max="8" width="19.1796875" style="23" customWidth="1"/>
    <col min="9" max="9" width="14.7265625" style="95" customWidth="1"/>
    <col min="10" max="10" width="8.81640625" style="61"/>
    <col min="12" max="13" width="18.7265625" bestFit="1" customWidth="1"/>
    <col min="14" max="14" width="14.1796875" customWidth="1"/>
    <col min="15" max="15" width="15" customWidth="1"/>
    <col min="17" max="17" width="14.81640625" bestFit="1" customWidth="1"/>
  </cols>
  <sheetData>
    <row r="1" spans="1:12" s="1" customFormat="1" ht="21">
      <c r="A1" s="35" t="s">
        <v>155</v>
      </c>
      <c r="C1" s="23"/>
      <c r="D1" s="23"/>
      <c r="E1" s="23"/>
      <c r="F1" s="23"/>
      <c r="G1" s="23"/>
      <c r="H1" s="23"/>
      <c r="I1" s="95"/>
    </row>
    <row r="2" spans="1:12" s="4" customFormat="1" ht="11.5">
      <c r="A2" s="36"/>
      <c r="C2" s="23"/>
      <c r="D2" s="23"/>
      <c r="E2" s="23"/>
      <c r="F2" s="23"/>
      <c r="G2" s="23"/>
      <c r="H2" s="23"/>
      <c r="I2" s="95"/>
    </row>
    <row r="3" spans="1:12" s="1" customFormat="1" ht="18.5">
      <c r="A3" s="37" t="s">
        <v>153</v>
      </c>
      <c r="C3" s="23"/>
      <c r="D3" s="23"/>
      <c r="E3" s="23"/>
      <c r="F3" s="23"/>
      <c r="G3" s="23"/>
      <c r="H3" s="23"/>
      <c r="I3" s="95"/>
    </row>
    <row r="4" spans="1:12" s="1" customFormat="1">
      <c r="A4" s="16" t="s">
        <v>0</v>
      </c>
      <c r="B4" s="2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6</v>
      </c>
      <c r="H4" s="24" t="s">
        <v>135</v>
      </c>
      <c r="I4" s="96" t="s">
        <v>7</v>
      </c>
    </row>
    <row r="5" spans="1:12" s="1" customFormat="1">
      <c r="A5" s="3" t="s">
        <v>30</v>
      </c>
      <c r="B5" s="3"/>
      <c r="C5" s="25">
        <f t="shared" ref="C5:H5" si="0">C41</f>
        <v>3567600</v>
      </c>
      <c r="D5" s="25">
        <f t="shared" si="0"/>
        <v>3476700</v>
      </c>
      <c r="E5" s="25">
        <f t="shared" si="0"/>
        <v>2484995</v>
      </c>
      <c r="F5" s="25">
        <f t="shared" si="0"/>
        <v>2493704.75</v>
      </c>
      <c r="G5" s="25">
        <f t="shared" si="0"/>
        <v>2002849.9875</v>
      </c>
      <c r="H5" s="25">
        <f t="shared" si="0"/>
        <v>14025849.737500001</v>
      </c>
      <c r="I5" s="97">
        <f>H5/H35*100</f>
        <v>5.9248986979964746</v>
      </c>
    </row>
    <row r="6" spans="1:12" s="41" customFormat="1">
      <c r="A6" s="38">
        <v>1</v>
      </c>
      <c r="B6" s="39" t="s">
        <v>8</v>
      </c>
      <c r="C6" s="40">
        <f>C42</f>
        <v>235000</v>
      </c>
      <c r="D6" s="40">
        <f>D42</f>
        <v>80000</v>
      </c>
      <c r="E6" s="40">
        <f>E42</f>
        <v>80000</v>
      </c>
      <c r="F6" s="40">
        <f>F42</f>
        <v>80000</v>
      </c>
      <c r="G6" s="40">
        <f>G42</f>
        <v>80000</v>
      </c>
      <c r="H6" s="40">
        <f>SUM(C6:G6)</f>
        <v>555000</v>
      </c>
      <c r="I6" s="98"/>
      <c r="J6" s="60" t="s">
        <v>245</v>
      </c>
      <c r="K6" s="41" t="s">
        <v>249</v>
      </c>
    </row>
    <row r="7" spans="1:12" s="41" customFormat="1">
      <c r="A7" s="38">
        <v>2</v>
      </c>
      <c r="B7" s="39" t="s">
        <v>12</v>
      </c>
      <c r="C7" s="40">
        <f>C47</f>
        <v>1167600</v>
      </c>
      <c r="D7" s="40">
        <f>D47</f>
        <v>576700</v>
      </c>
      <c r="E7" s="40">
        <f>E47</f>
        <v>584995</v>
      </c>
      <c r="F7" s="40">
        <f>F47</f>
        <v>593704.75</v>
      </c>
      <c r="G7" s="40">
        <f>G47</f>
        <v>602849.98750000005</v>
      </c>
      <c r="H7" s="40">
        <f t="shared" ref="H7:H12" si="1">SUM(C7:G7)</f>
        <v>3525849.7374999998</v>
      </c>
      <c r="I7" s="98"/>
      <c r="J7" s="60" t="s">
        <v>245</v>
      </c>
      <c r="K7" s="41" t="s">
        <v>249</v>
      </c>
    </row>
    <row r="8" spans="1:12" s="41" customFormat="1">
      <c r="A8" s="38">
        <v>3</v>
      </c>
      <c r="B8" s="39" t="s">
        <v>19</v>
      </c>
      <c r="C8" s="40">
        <f>C54</f>
        <v>700000</v>
      </c>
      <c r="D8" s="40">
        <f t="shared" ref="D8:G8" si="2">D54</f>
        <v>700000</v>
      </c>
      <c r="E8" s="40">
        <f t="shared" si="2"/>
        <v>700000</v>
      </c>
      <c r="F8" s="40">
        <f t="shared" si="2"/>
        <v>700000</v>
      </c>
      <c r="G8" s="40">
        <f t="shared" si="2"/>
        <v>700000</v>
      </c>
      <c r="H8" s="40">
        <f t="shared" si="1"/>
        <v>3500000</v>
      </c>
      <c r="I8" s="98"/>
      <c r="J8" s="60" t="s">
        <v>201</v>
      </c>
      <c r="K8" s="41" t="s">
        <v>252</v>
      </c>
    </row>
    <row r="9" spans="1:12" s="41" customFormat="1">
      <c r="A9" s="38">
        <v>4</v>
      </c>
      <c r="B9" s="39" t="s">
        <v>22</v>
      </c>
      <c r="C9" s="40">
        <f>C59</f>
        <v>1000000</v>
      </c>
      <c r="D9" s="40">
        <f t="shared" ref="D9:G9" si="3">D59</f>
        <v>2000000</v>
      </c>
      <c r="E9" s="40">
        <f t="shared" si="3"/>
        <v>1000000</v>
      </c>
      <c r="F9" s="40">
        <f t="shared" si="3"/>
        <v>1000000</v>
      </c>
      <c r="G9" s="40">
        <f t="shared" si="3"/>
        <v>500000</v>
      </c>
      <c r="H9" s="40">
        <f t="shared" si="1"/>
        <v>5500000</v>
      </c>
      <c r="I9" s="98"/>
      <c r="J9" s="60" t="s">
        <v>199</v>
      </c>
      <c r="K9" s="41" t="s">
        <v>251</v>
      </c>
    </row>
    <row r="10" spans="1:12" s="41" customFormat="1" hidden="1">
      <c r="A10" s="38"/>
      <c r="B10" s="39"/>
      <c r="C10" s="40"/>
      <c r="D10" s="40"/>
      <c r="E10" s="40"/>
      <c r="F10" s="40"/>
      <c r="G10" s="40"/>
      <c r="H10" s="40">
        <f>H12/3</f>
        <v>315000</v>
      </c>
      <c r="I10" s="98"/>
      <c r="J10" s="60" t="s">
        <v>201</v>
      </c>
    </row>
    <row r="11" spans="1:12" s="41" customFormat="1" hidden="1">
      <c r="A11" s="38"/>
      <c r="B11" s="39"/>
      <c r="C11" s="40"/>
      <c r="D11" s="40"/>
      <c r="E11" s="40"/>
      <c r="F11" s="40"/>
      <c r="G11" s="40"/>
      <c r="H11" s="40">
        <f>H12-H10</f>
        <v>630000</v>
      </c>
      <c r="I11" s="98"/>
      <c r="J11" s="60" t="s">
        <v>199</v>
      </c>
    </row>
    <row r="12" spans="1:12" s="41" customFormat="1">
      <c r="A12" s="38">
        <v>5</v>
      </c>
      <c r="B12" s="39" t="s">
        <v>24</v>
      </c>
      <c r="C12" s="40">
        <f>C61</f>
        <v>465000</v>
      </c>
      <c r="D12" s="40">
        <f t="shared" ref="D12:G12" si="4">D61</f>
        <v>120000</v>
      </c>
      <c r="E12" s="40">
        <f t="shared" si="4"/>
        <v>120000</v>
      </c>
      <c r="F12" s="40">
        <f t="shared" si="4"/>
        <v>120000</v>
      </c>
      <c r="G12" s="40">
        <f t="shared" si="4"/>
        <v>120000</v>
      </c>
      <c r="H12" s="40">
        <f t="shared" si="1"/>
        <v>945000</v>
      </c>
      <c r="I12" s="98"/>
      <c r="J12" s="41" t="s">
        <v>201</v>
      </c>
      <c r="K12" s="41" t="s">
        <v>253</v>
      </c>
      <c r="L12" s="94"/>
    </row>
    <row r="13" spans="1:12" s="22" customFormat="1">
      <c r="A13" s="9" t="s">
        <v>31</v>
      </c>
      <c r="B13" s="9"/>
      <c r="C13" s="31">
        <f>C67</f>
        <v>2098300</v>
      </c>
      <c r="D13" s="31">
        <f>D67</f>
        <v>1687700</v>
      </c>
      <c r="E13" s="31">
        <f>E67</f>
        <v>1079000</v>
      </c>
      <c r="F13" s="31">
        <f>F67</f>
        <v>1115700</v>
      </c>
      <c r="G13" s="31">
        <f>G67</f>
        <v>965700</v>
      </c>
      <c r="H13" s="31">
        <f>SUM(C13:G13)</f>
        <v>6946400</v>
      </c>
      <c r="I13" s="97">
        <f>H13/H35*100</f>
        <v>2.9343474431873231</v>
      </c>
      <c r="J13" s="1"/>
    </row>
    <row r="14" spans="1:12" s="41" customFormat="1">
      <c r="A14" s="38">
        <v>1</v>
      </c>
      <c r="B14" s="39" t="s">
        <v>32</v>
      </c>
      <c r="C14" s="40">
        <f>C68</f>
        <v>60000</v>
      </c>
      <c r="D14" s="40">
        <f t="shared" ref="D14:G14" si="5">D68</f>
        <v>0</v>
      </c>
      <c r="E14" s="40">
        <f t="shared" si="5"/>
        <v>60000</v>
      </c>
      <c r="F14" s="40">
        <f t="shared" si="5"/>
        <v>0</v>
      </c>
      <c r="G14" s="40">
        <f t="shared" si="5"/>
        <v>0</v>
      </c>
      <c r="H14" s="40">
        <f t="shared" ref="H14:H17" si="6">SUM(C14:G14)</f>
        <v>120000</v>
      </c>
      <c r="I14" s="98"/>
      <c r="J14" s="60" t="s">
        <v>200</v>
      </c>
      <c r="K14" s="41" t="s">
        <v>200</v>
      </c>
    </row>
    <row r="15" spans="1:12" s="41" customFormat="1">
      <c r="A15" s="38">
        <v>2</v>
      </c>
      <c r="B15" s="39" t="s">
        <v>35</v>
      </c>
      <c r="C15" s="40">
        <f>C71</f>
        <v>936000</v>
      </c>
      <c r="D15" s="40">
        <f t="shared" ref="D15:G15" si="7">D71</f>
        <v>672000</v>
      </c>
      <c r="E15" s="40">
        <f t="shared" si="7"/>
        <v>0</v>
      </c>
      <c r="F15" s="40">
        <f t="shared" si="7"/>
        <v>0</v>
      </c>
      <c r="G15" s="40">
        <f t="shared" si="7"/>
        <v>0</v>
      </c>
      <c r="H15" s="40">
        <f t="shared" si="6"/>
        <v>1608000</v>
      </c>
      <c r="I15" s="98"/>
      <c r="J15" s="60" t="s">
        <v>200</v>
      </c>
      <c r="K15" s="41" t="s">
        <v>254</v>
      </c>
      <c r="L15" s="94"/>
    </row>
    <row r="16" spans="1:12" s="41" customFormat="1">
      <c r="A16" s="38">
        <v>3</v>
      </c>
      <c r="B16" s="39" t="s">
        <v>41</v>
      </c>
      <c r="C16" s="40">
        <f>C77</f>
        <v>1002300</v>
      </c>
      <c r="D16" s="40">
        <f t="shared" ref="D16:G16" si="8">D77</f>
        <v>815700</v>
      </c>
      <c r="E16" s="40">
        <f t="shared" si="8"/>
        <v>819000</v>
      </c>
      <c r="F16" s="40">
        <f t="shared" si="8"/>
        <v>815700</v>
      </c>
      <c r="G16" s="40">
        <f t="shared" si="8"/>
        <v>665700</v>
      </c>
      <c r="H16" s="40">
        <f t="shared" si="6"/>
        <v>4118400</v>
      </c>
      <c r="I16" s="98"/>
      <c r="J16" s="60" t="s">
        <v>199</v>
      </c>
      <c r="K16" s="41" t="s">
        <v>200</v>
      </c>
    </row>
    <row r="17" spans="1:11" s="41" customFormat="1">
      <c r="A17" s="38">
        <v>4</v>
      </c>
      <c r="B17" s="39" t="s">
        <v>46</v>
      </c>
      <c r="C17" s="40">
        <f>C82</f>
        <v>100000</v>
      </c>
      <c r="D17" s="40">
        <f t="shared" ref="D17:G17" si="9">D82</f>
        <v>200000</v>
      </c>
      <c r="E17" s="40">
        <f t="shared" si="9"/>
        <v>200000</v>
      </c>
      <c r="F17" s="40">
        <f t="shared" si="9"/>
        <v>300000</v>
      </c>
      <c r="G17" s="40">
        <f t="shared" si="9"/>
        <v>300000</v>
      </c>
      <c r="H17" s="40">
        <f t="shared" si="6"/>
        <v>1100000</v>
      </c>
      <c r="I17" s="98"/>
      <c r="J17" s="60" t="s">
        <v>201</v>
      </c>
      <c r="K17" s="60" t="s">
        <v>253</v>
      </c>
    </row>
    <row r="18" spans="1:11" s="1" customFormat="1">
      <c r="A18" s="9" t="s">
        <v>51</v>
      </c>
      <c r="B18" s="9"/>
      <c r="C18" s="31">
        <f>C87</f>
        <v>29800000</v>
      </c>
      <c r="D18" s="31">
        <f t="shared" ref="D18:H18" si="10">D87</f>
        <v>29570000</v>
      </c>
      <c r="E18" s="31">
        <f t="shared" si="10"/>
        <v>29570000</v>
      </c>
      <c r="F18" s="31">
        <f t="shared" si="10"/>
        <v>29570000</v>
      </c>
      <c r="G18" s="31">
        <f t="shared" si="10"/>
        <v>29570000</v>
      </c>
      <c r="H18" s="31">
        <f t="shared" si="10"/>
        <v>148080000</v>
      </c>
      <c r="I18" s="97">
        <f>H18/H35*100</f>
        <v>62.553001466540771</v>
      </c>
    </row>
    <row r="19" spans="1:11" s="41" customFormat="1">
      <c r="A19" s="38">
        <v>1</v>
      </c>
      <c r="B19" s="39" t="s">
        <v>52</v>
      </c>
      <c r="C19" s="40">
        <f>C88</f>
        <v>100000</v>
      </c>
      <c r="D19" s="40">
        <f t="shared" ref="D19:H19" si="11">D88</f>
        <v>20000</v>
      </c>
      <c r="E19" s="40">
        <f t="shared" si="11"/>
        <v>20000</v>
      </c>
      <c r="F19" s="40">
        <f t="shared" si="11"/>
        <v>20000</v>
      </c>
      <c r="G19" s="40">
        <f t="shared" si="11"/>
        <v>20000</v>
      </c>
      <c r="H19" s="40">
        <f t="shared" si="11"/>
        <v>180000</v>
      </c>
      <c r="I19" s="98"/>
      <c r="J19" s="60" t="s">
        <v>245</v>
      </c>
      <c r="K19" s="41" t="s">
        <v>250</v>
      </c>
    </row>
    <row r="20" spans="1:11" s="41" customFormat="1">
      <c r="A20" s="38">
        <v>2</v>
      </c>
      <c r="B20" s="39" t="s">
        <v>58</v>
      </c>
      <c r="C20" s="40">
        <f>C94</f>
        <v>150000</v>
      </c>
      <c r="D20" s="40">
        <f t="shared" ref="D20:H20" si="12">D94</f>
        <v>0</v>
      </c>
      <c r="E20" s="40">
        <f t="shared" si="12"/>
        <v>0</v>
      </c>
      <c r="F20" s="40">
        <f t="shared" si="12"/>
        <v>0</v>
      </c>
      <c r="G20" s="40">
        <f t="shared" si="12"/>
        <v>0</v>
      </c>
      <c r="H20" s="40">
        <f t="shared" si="12"/>
        <v>150000</v>
      </c>
      <c r="I20" s="98"/>
      <c r="J20" s="60" t="s">
        <v>200</v>
      </c>
      <c r="K20" s="41" t="s">
        <v>200</v>
      </c>
    </row>
    <row r="21" spans="1:11" s="41" customFormat="1">
      <c r="A21" s="38">
        <v>3</v>
      </c>
      <c r="B21" s="39" t="s">
        <v>67</v>
      </c>
      <c r="C21" s="40">
        <f>C103</f>
        <v>29500000</v>
      </c>
      <c r="D21" s="40">
        <f>D103</f>
        <v>29500000</v>
      </c>
      <c r="E21" s="40">
        <f t="shared" ref="E21:H21" si="13">E103</f>
        <v>29500000</v>
      </c>
      <c r="F21" s="40">
        <f t="shared" si="13"/>
        <v>29500000</v>
      </c>
      <c r="G21" s="40">
        <f t="shared" si="13"/>
        <v>29500000</v>
      </c>
      <c r="H21" s="40">
        <f t="shared" si="13"/>
        <v>147500000</v>
      </c>
      <c r="I21" s="98"/>
      <c r="J21" s="60"/>
      <c r="K21" s="41" t="s">
        <v>255</v>
      </c>
    </row>
    <row r="22" spans="1:11" s="41" customFormat="1" ht="14.5" hidden="1" customHeight="1">
      <c r="A22" s="38"/>
      <c r="B22" s="39"/>
      <c r="C22" s="40"/>
      <c r="D22" s="40"/>
      <c r="E22" s="40"/>
      <c r="F22" s="40"/>
      <c r="G22" s="40"/>
      <c r="H22" s="40">
        <f>H21*0.75</f>
        <v>110625000</v>
      </c>
      <c r="I22" s="98"/>
      <c r="J22" s="60" t="s">
        <v>200</v>
      </c>
    </row>
    <row r="23" spans="1:11" s="41" customFormat="1" ht="14.5" hidden="1" customHeight="1">
      <c r="A23" s="38"/>
      <c r="B23" s="39"/>
      <c r="C23" s="40"/>
      <c r="D23" s="40"/>
      <c r="E23" s="40"/>
      <c r="F23" s="40"/>
      <c r="G23" s="40"/>
      <c r="H23" s="40">
        <f>H21*0.25</f>
        <v>36875000</v>
      </c>
      <c r="I23" s="98"/>
      <c r="J23" s="60" t="s">
        <v>246</v>
      </c>
    </row>
    <row r="24" spans="1:11" s="41" customFormat="1">
      <c r="A24" s="38">
        <v>4</v>
      </c>
      <c r="B24" s="39" t="s">
        <v>72</v>
      </c>
      <c r="C24" s="40">
        <f>C108</f>
        <v>50000</v>
      </c>
      <c r="D24" s="40">
        <f t="shared" ref="D24:H24" si="14">D108</f>
        <v>50000</v>
      </c>
      <c r="E24" s="40">
        <f t="shared" si="14"/>
        <v>50000</v>
      </c>
      <c r="F24" s="40">
        <f t="shared" si="14"/>
        <v>50000</v>
      </c>
      <c r="G24" s="40">
        <f t="shared" si="14"/>
        <v>50000</v>
      </c>
      <c r="H24" s="40">
        <f t="shared" si="14"/>
        <v>250000</v>
      </c>
      <c r="I24" s="98"/>
      <c r="J24" s="60" t="s">
        <v>201</v>
      </c>
      <c r="K24" s="41" t="s">
        <v>252</v>
      </c>
    </row>
    <row r="25" spans="1:11" s="1" customFormat="1">
      <c r="A25" s="9" t="s">
        <v>76</v>
      </c>
      <c r="B25" s="9"/>
      <c r="C25" s="31">
        <f>C112</f>
        <v>260000</v>
      </c>
      <c r="D25" s="31">
        <f t="shared" ref="D25:H25" si="15">D112</f>
        <v>520000</v>
      </c>
      <c r="E25" s="31">
        <f t="shared" si="15"/>
        <v>55590000</v>
      </c>
      <c r="F25" s="31">
        <f t="shared" si="15"/>
        <v>5280000</v>
      </c>
      <c r="G25" s="31">
        <f t="shared" si="15"/>
        <v>5280000</v>
      </c>
      <c r="H25" s="31">
        <f t="shared" si="15"/>
        <v>66930000</v>
      </c>
      <c r="I25" s="97">
        <f>H25/H35*100</f>
        <v>28.273044220391501</v>
      </c>
      <c r="J25" s="1" t="s">
        <v>244</v>
      </c>
    </row>
    <row r="26" spans="1:11" s="41" customFormat="1">
      <c r="A26" s="38">
        <v>1</v>
      </c>
      <c r="B26" s="39" t="s">
        <v>77</v>
      </c>
      <c r="C26" s="40">
        <f>C113</f>
        <v>50000</v>
      </c>
      <c r="D26" s="40">
        <f t="shared" ref="D26:H26" si="16">D113</f>
        <v>0</v>
      </c>
      <c r="E26" s="40">
        <f t="shared" si="16"/>
        <v>50000000</v>
      </c>
      <c r="F26" s="40">
        <f t="shared" si="16"/>
        <v>0</v>
      </c>
      <c r="G26" s="40">
        <f t="shared" si="16"/>
        <v>0</v>
      </c>
      <c r="H26" s="40">
        <f t="shared" si="16"/>
        <v>50050000</v>
      </c>
      <c r="I26" s="98"/>
      <c r="J26" s="60" t="s">
        <v>200</v>
      </c>
      <c r="K26" s="41" t="s">
        <v>200</v>
      </c>
    </row>
    <row r="27" spans="1:11" s="41" customFormat="1">
      <c r="A27" s="38">
        <v>2</v>
      </c>
      <c r="B27" s="39" t="s">
        <v>82</v>
      </c>
      <c r="C27" s="40">
        <f>C118</f>
        <v>120000</v>
      </c>
      <c r="D27" s="40">
        <f t="shared" ref="D27:H27" si="17">D118</f>
        <v>80000</v>
      </c>
      <c r="E27" s="40">
        <f t="shared" si="17"/>
        <v>5000000</v>
      </c>
      <c r="F27" s="40">
        <f t="shared" si="17"/>
        <v>5000000</v>
      </c>
      <c r="G27" s="40">
        <f t="shared" si="17"/>
        <v>5000000</v>
      </c>
      <c r="H27" s="40">
        <f t="shared" si="17"/>
        <v>15200000</v>
      </c>
      <c r="I27" s="98"/>
      <c r="J27" s="60" t="s">
        <v>199</v>
      </c>
      <c r="K27" s="41" t="s">
        <v>256</v>
      </c>
    </row>
    <row r="28" spans="1:11" s="41" customFormat="1">
      <c r="A28" s="38">
        <v>3</v>
      </c>
      <c r="B28" s="39" t="s">
        <v>88</v>
      </c>
      <c r="C28" s="40">
        <f>C124</f>
        <v>0</v>
      </c>
      <c r="D28" s="40">
        <f t="shared" ref="D28:H28" si="18">D124</f>
        <v>0</v>
      </c>
      <c r="E28" s="40">
        <f t="shared" si="18"/>
        <v>60000</v>
      </c>
      <c r="F28" s="40">
        <f t="shared" si="18"/>
        <v>50000</v>
      </c>
      <c r="G28" s="40">
        <f t="shared" si="18"/>
        <v>50000</v>
      </c>
      <c r="H28" s="40">
        <f t="shared" si="18"/>
        <v>160000</v>
      </c>
      <c r="I28" s="98"/>
      <c r="J28" s="60" t="s">
        <v>245</v>
      </c>
      <c r="K28" s="41" t="s">
        <v>250</v>
      </c>
    </row>
    <row r="29" spans="1:11" s="41" customFormat="1">
      <c r="A29" s="38">
        <v>4</v>
      </c>
      <c r="B29" s="39" t="s">
        <v>248</v>
      </c>
      <c r="C29" s="40">
        <f>C128</f>
        <v>60000</v>
      </c>
      <c r="D29" s="40">
        <f t="shared" ref="D29:H29" si="19">D128</f>
        <v>80000</v>
      </c>
      <c r="E29" s="40">
        <f t="shared" si="19"/>
        <v>50000</v>
      </c>
      <c r="F29" s="40">
        <f t="shared" si="19"/>
        <v>50000</v>
      </c>
      <c r="G29" s="40">
        <f t="shared" si="19"/>
        <v>50000</v>
      </c>
      <c r="H29" s="40">
        <f t="shared" si="19"/>
        <v>290000</v>
      </c>
      <c r="I29" s="98"/>
      <c r="J29" s="60" t="s">
        <v>201</v>
      </c>
    </row>
    <row r="30" spans="1:11" s="41" customFormat="1">
      <c r="A30" s="38">
        <v>5</v>
      </c>
      <c r="B30" s="39" t="s">
        <v>96</v>
      </c>
      <c r="C30" s="40">
        <f>C132</f>
        <v>30000</v>
      </c>
      <c r="D30" s="40">
        <f t="shared" ref="D30:H30" si="20">D132</f>
        <v>360000</v>
      </c>
      <c r="E30" s="40">
        <f t="shared" si="20"/>
        <v>480000</v>
      </c>
      <c r="F30" s="40">
        <f t="shared" si="20"/>
        <v>180000</v>
      </c>
      <c r="G30" s="40">
        <f t="shared" si="20"/>
        <v>180000</v>
      </c>
      <c r="H30" s="40">
        <f t="shared" si="20"/>
        <v>1230000</v>
      </c>
      <c r="I30" s="98"/>
      <c r="J30" s="60" t="s">
        <v>199</v>
      </c>
    </row>
    <row r="31" spans="1:11" s="1" customFormat="1">
      <c r="A31" s="9" t="s">
        <v>102</v>
      </c>
      <c r="B31" s="9"/>
      <c r="C31" s="31">
        <f>C138</f>
        <v>120000</v>
      </c>
      <c r="D31" s="31">
        <f t="shared" ref="D31:H31" si="21">D138</f>
        <v>100000</v>
      </c>
      <c r="E31" s="31">
        <f t="shared" si="21"/>
        <v>235000</v>
      </c>
      <c r="F31" s="31">
        <f t="shared" si="21"/>
        <v>140000</v>
      </c>
      <c r="G31" s="31">
        <f t="shared" si="21"/>
        <v>150000</v>
      </c>
      <c r="H31" s="31">
        <f t="shared" si="21"/>
        <v>745000</v>
      </c>
      <c r="I31" s="97">
        <f>H31/H35*100</f>
        <v>0.31470817188393346</v>
      </c>
    </row>
    <row r="32" spans="1:11" s="41" customFormat="1">
      <c r="A32" s="38">
        <v>1</v>
      </c>
      <c r="B32" s="39" t="s">
        <v>103</v>
      </c>
      <c r="C32" s="40">
        <f>C139</f>
        <v>50000</v>
      </c>
      <c r="D32" s="40">
        <f t="shared" ref="D32:H32" si="22">D139</f>
        <v>50000</v>
      </c>
      <c r="E32" s="40">
        <f t="shared" si="22"/>
        <v>40000</v>
      </c>
      <c r="F32" s="40">
        <f t="shared" si="22"/>
        <v>40000</v>
      </c>
      <c r="G32" s="40">
        <f t="shared" si="22"/>
        <v>40000</v>
      </c>
      <c r="H32" s="40">
        <f t="shared" si="22"/>
        <v>220000</v>
      </c>
      <c r="I32" s="98"/>
      <c r="J32" s="60" t="s">
        <v>201</v>
      </c>
      <c r="K32" s="41" t="s">
        <v>257</v>
      </c>
    </row>
    <row r="33" spans="1:17" s="41" customFormat="1">
      <c r="A33" s="38">
        <v>2</v>
      </c>
      <c r="B33" s="39" t="s">
        <v>106</v>
      </c>
      <c r="C33" s="40">
        <f>C142</f>
        <v>40000</v>
      </c>
      <c r="D33" s="40">
        <f t="shared" ref="D33:H33" si="23">D142</f>
        <v>0</v>
      </c>
      <c r="E33" s="40">
        <f t="shared" si="23"/>
        <v>145000</v>
      </c>
      <c r="F33" s="40">
        <f t="shared" si="23"/>
        <v>25000</v>
      </c>
      <c r="G33" s="40">
        <f t="shared" si="23"/>
        <v>60000</v>
      </c>
      <c r="H33" s="40">
        <f t="shared" si="23"/>
        <v>270000</v>
      </c>
      <c r="I33" s="98"/>
      <c r="J33" s="60" t="s">
        <v>201</v>
      </c>
      <c r="K33" s="41" t="s">
        <v>257</v>
      </c>
    </row>
    <row r="34" spans="1:17" s="41" customFormat="1">
      <c r="A34" s="38">
        <v>3</v>
      </c>
      <c r="B34" s="39" t="s">
        <v>126</v>
      </c>
      <c r="C34" s="40">
        <f>C154</f>
        <v>30000</v>
      </c>
      <c r="D34" s="40">
        <f t="shared" ref="D34:H34" si="24">D154</f>
        <v>50000</v>
      </c>
      <c r="E34" s="40">
        <f t="shared" si="24"/>
        <v>50000</v>
      </c>
      <c r="F34" s="40">
        <f t="shared" si="24"/>
        <v>75000</v>
      </c>
      <c r="G34" s="40">
        <f t="shared" si="24"/>
        <v>50000</v>
      </c>
      <c r="H34" s="40">
        <f t="shared" si="24"/>
        <v>255000</v>
      </c>
      <c r="I34" s="98"/>
      <c r="J34" s="60" t="s">
        <v>201</v>
      </c>
      <c r="K34" s="41" t="s">
        <v>257</v>
      </c>
    </row>
    <row r="35" spans="1:17" s="1" customFormat="1">
      <c r="A35" s="9" t="s">
        <v>154</v>
      </c>
      <c r="B35" s="9"/>
      <c r="C35" s="31">
        <f t="shared" ref="C35:H35" si="25">C31+C25+C18+C13+C5</f>
        <v>35845900</v>
      </c>
      <c r="D35" s="31">
        <f t="shared" si="25"/>
        <v>35354400</v>
      </c>
      <c r="E35" s="31">
        <f t="shared" si="25"/>
        <v>88958995</v>
      </c>
      <c r="F35" s="31">
        <f t="shared" si="25"/>
        <v>38599404.75</v>
      </c>
      <c r="G35" s="31">
        <f t="shared" si="25"/>
        <v>37968549.987499997</v>
      </c>
      <c r="H35" s="31">
        <f t="shared" si="25"/>
        <v>236727249.73750001</v>
      </c>
      <c r="I35" s="97"/>
    </row>
    <row r="36" spans="1:17" s="41" customFormat="1">
      <c r="A36" s="42"/>
      <c r="B36" s="43"/>
      <c r="C36" s="44"/>
      <c r="D36" s="44"/>
      <c r="E36" s="44"/>
      <c r="F36" s="44"/>
      <c r="G36" s="44"/>
      <c r="H36" s="44"/>
      <c r="I36" s="98"/>
      <c r="J36" s="60"/>
    </row>
    <row r="37" spans="1:17" s="41" customFormat="1">
      <c r="A37" s="42"/>
      <c r="B37" s="43"/>
      <c r="C37" s="44"/>
      <c r="D37" s="44"/>
      <c r="E37" s="44"/>
      <c r="F37" s="44"/>
      <c r="G37" s="44"/>
      <c r="H37" s="44"/>
      <c r="I37" s="98"/>
      <c r="J37" s="60"/>
    </row>
    <row r="38" spans="1:17" s="4" customFormat="1" ht="11.5">
      <c r="A38" s="36"/>
      <c r="C38" s="23"/>
      <c r="D38" s="23"/>
      <c r="E38" s="23"/>
      <c r="F38" s="23"/>
      <c r="G38" s="23"/>
      <c r="H38" s="23"/>
      <c r="I38" s="95"/>
    </row>
    <row r="39" spans="1:17" s="1" customFormat="1" ht="18.5">
      <c r="A39" s="37" t="s">
        <v>152</v>
      </c>
      <c r="C39" s="23"/>
      <c r="D39" s="23"/>
      <c r="E39" s="23"/>
      <c r="F39" s="23"/>
      <c r="G39" s="23"/>
      <c r="H39" s="23"/>
      <c r="I39" s="95"/>
    </row>
    <row r="40" spans="1:17" s="1" customFormat="1">
      <c r="A40" s="16" t="s">
        <v>0</v>
      </c>
      <c r="B40" s="2" t="s">
        <v>1</v>
      </c>
      <c r="C40" s="24" t="s">
        <v>2</v>
      </c>
      <c r="D40" s="24" t="s">
        <v>3</v>
      </c>
      <c r="E40" s="24" t="s">
        <v>4</v>
      </c>
      <c r="F40" s="24" t="s">
        <v>5</v>
      </c>
      <c r="G40" s="24" t="s">
        <v>6</v>
      </c>
      <c r="H40" s="24" t="s">
        <v>135</v>
      </c>
      <c r="I40" s="96" t="s">
        <v>7</v>
      </c>
      <c r="L40" s="22" t="s">
        <v>199</v>
      </c>
      <c r="M40" s="22" t="s">
        <v>250</v>
      </c>
      <c r="N40" s="22" t="s">
        <v>200</v>
      </c>
      <c r="O40" s="22" t="s">
        <v>201</v>
      </c>
    </row>
    <row r="41" spans="1:17" s="1" customFormat="1">
      <c r="A41" s="3" t="s">
        <v>30</v>
      </c>
      <c r="B41" s="3"/>
      <c r="C41" s="25">
        <f t="shared" ref="C41:H41" si="26">C42+C47+C54+C59+C61</f>
        <v>3567600</v>
      </c>
      <c r="D41" s="25">
        <f t="shared" si="26"/>
        <v>3476700</v>
      </c>
      <c r="E41" s="25">
        <f t="shared" si="26"/>
        <v>2484995</v>
      </c>
      <c r="F41" s="25">
        <f t="shared" si="26"/>
        <v>2493704.75</v>
      </c>
      <c r="G41" s="25">
        <f t="shared" si="26"/>
        <v>2002849.9875</v>
      </c>
      <c r="H41" s="25">
        <f t="shared" si="26"/>
        <v>14025849.737500001</v>
      </c>
      <c r="I41" s="97"/>
      <c r="L41" s="103">
        <f>E55+F55+G55+E56+F56+G56+E57+F57+G57</f>
        <v>2100000</v>
      </c>
      <c r="M41" s="103">
        <f>H42</f>
        <v>555000</v>
      </c>
      <c r="N41" s="103">
        <f>H69</f>
        <v>60000</v>
      </c>
      <c r="O41" s="26">
        <f>C54+D54</f>
        <v>1400000</v>
      </c>
      <c r="Q41" s="103">
        <f>L47+M51+N47+O53</f>
        <v>236727249.73750001</v>
      </c>
    </row>
    <row r="42" spans="1:17" s="21" customFormat="1">
      <c r="A42" s="17">
        <v>1</v>
      </c>
      <c r="B42" s="6" t="s">
        <v>8</v>
      </c>
      <c r="C42" s="32">
        <f>SUM(C43:C46)</f>
        <v>235000</v>
      </c>
      <c r="D42" s="32">
        <f>SUM(D43:D46)</f>
        <v>80000</v>
      </c>
      <c r="E42" s="32">
        <f>SUM(E43:E46)</f>
        <v>80000</v>
      </c>
      <c r="F42" s="32">
        <f>SUM(F43:F46)</f>
        <v>80000</v>
      </c>
      <c r="G42" s="32">
        <f>SUM(G43:G46)</f>
        <v>80000</v>
      </c>
      <c r="H42" s="32">
        <f>SUM(C42:G42)</f>
        <v>555000</v>
      </c>
      <c r="I42" s="99"/>
      <c r="J42" s="61"/>
      <c r="L42" s="105">
        <f>E59+F59+G59</f>
        <v>2500000</v>
      </c>
      <c r="M42" s="105">
        <f>H49</f>
        <v>1673049.7375</v>
      </c>
      <c r="N42" s="61">
        <v>1000000</v>
      </c>
      <c r="O42" s="105">
        <f>H48</f>
        <v>1852800</v>
      </c>
    </row>
    <row r="43" spans="1:17">
      <c r="A43" s="15">
        <v>1.1000000000000001</v>
      </c>
      <c r="B43" s="8" t="s">
        <v>193</v>
      </c>
      <c r="C43" s="27">
        <f>'JCC &amp; PMU Set-up'!C1</f>
        <v>155000</v>
      </c>
      <c r="D43" s="27">
        <f>'JCC &amp; PMU Set-up'!D1</f>
        <v>0</v>
      </c>
      <c r="E43" s="27">
        <f>'JCC &amp; PMU Set-up'!E1</f>
        <v>0</v>
      </c>
      <c r="F43" s="27">
        <f>'JCC &amp; PMU Set-up'!F1</f>
        <v>0</v>
      </c>
      <c r="G43" s="27">
        <f>'JCC &amp; PMU Set-up'!G1</f>
        <v>0</v>
      </c>
      <c r="H43" s="26">
        <f>SUM(C43:G43)</f>
        <v>155000</v>
      </c>
      <c r="I43" s="95" t="s">
        <v>194</v>
      </c>
      <c r="J43" s="61" t="s">
        <v>250</v>
      </c>
      <c r="L43" s="59">
        <f>E79+F79+G79</f>
        <v>1520400</v>
      </c>
      <c r="M43" s="59">
        <f>H70</f>
        <v>60000</v>
      </c>
      <c r="N43" s="59">
        <f>H89</f>
        <v>100000</v>
      </c>
      <c r="O43" s="59">
        <f>C59+D59</f>
        <v>3000000</v>
      </c>
    </row>
    <row r="44" spans="1:17" ht="24">
      <c r="A44" s="15">
        <v>1.2</v>
      </c>
      <c r="B44" s="8" t="s">
        <v>9</v>
      </c>
      <c r="C44" s="27">
        <f>5000*4</f>
        <v>20000</v>
      </c>
      <c r="D44" s="27">
        <f>C44</f>
        <v>20000</v>
      </c>
      <c r="E44" s="27">
        <f>D44</f>
        <v>20000</v>
      </c>
      <c r="F44" s="27">
        <f>E44</f>
        <v>20000</v>
      </c>
      <c r="G44" s="27">
        <f>F44</f>
        <v>20000</v>
      </c>
      <c r="H44" s="26">
        <f>SUM(C44:G44)</f>
        <v>100000</v>
      </c>
      <c r="I44" s="95" t="s">
        <v>157</v>
      </c>
      <c r="J44" s="61" t="s">
        <v>250</v>
      </c>
      <c r="L44" s="59">
        <f>H106</f>
        <v>27500000</v>
      </c>
      <c r="M44" s="108">
        <v>200000</v>
      </c>
      <c r="N44" s="59">
        <f>H94</f>
        <v>150000</v>
      </c>
      <c r="O44" s="59">
        <f>H61</f>
        <v>945000</v>
      </c>
    </row>
    <row r="45" spans="1:17" ht="24">
      <c r="A45" s="15">
        <v>1.3</v>
      </c>
      <c r="B45" s="7" t="s">
        <v>10</v>
      </c>
      <c r="C45" s="28">
        <v>50000</v>
      </c>
      <c r="D45" s="28">
        <v>50000</v>
      </c>
      <c r="E45" s="28">
        <v>50000</v>
      </c>
      <c r="F45" s="28">
        <v>50000</v>
      </c>
      <c r="G45" s="28">
        <v>50000</v>
      </c>
      <c r="H45" s="26">
        <f t="shared" ref="H45:H46" si="27">SUM(C45:G45)</f>
        <v>250000</v>
      </c>
      <c r="I45" s="95" t="s">
        <v>156</v>
      </c>
      <c r="J45" s="61" t="s">
        <v>250</v>
      </c>
      <c r="L45" s="59">
        <f>H118</f>
        <v>15200000</v>
      </c>
      <c r="M45" s="59">
        <f>H81</f>
        <v>480000</v>
      </c>
      <c r="N45">
        <v>70000000</v>
      </c>
      <c r="O45" s="59">
        <f>H74+H75+H76</f>
        <v>408000</v>
      </c>
    </row>
    <row r="46" spans="1:17">
      <c r="A46" s="15">
        <v>1.5</v>
      </c>
      <c r="B46" s="7" t="s">
        <v>11</v>
      </c>
      <c r="C46" s="27">
        <v>10000</v>
      </c>
      <c r="D46" s="27">
        <v>10000</v>
      </c>
      <c r="E46" s="27">
        <v>10000</v>
      </c>
      <c r="F46" s="27">
        <v>10000</v>
      </c>
      <c r="G46" s="27">
        <v>10000</v>
      </c>
      <c r="H46" s="26">
        <f t="shared" si="27"/>
        <v>50000</v>
      </c>
      <c r="I46" s="95" t="s">
        <v>134</v>
      </c>
      <c r="J46" s="61" t="s">
        <v>250</v>
      </c>
      <c r="L46" s="59">
        <f>H135+H136+H137</f>
        <v>1170000</v>
      </c>
      <c r="M46" s="59">
        <f>H90</f>
        <v>80000</v>
      </c>
      <c r="N46" s="59">
        <f>H113</f>
        <v>50050000</v>
      </c>
      <c r="O46" s="59">
        <f>H78+H80</f>
        <v>900000</v>
      </c>
    </row>
    <row r="47" spans="1:17" s="21" customFormat="1">
      <c r="A47" s="17">
        <v>2</v>
      </c>
      <c r="B47" s="6" t="s">
        <v>12</v>
      </c>
      <c r="C47" s="32">
        <f>SUM(C48:C53)</f>
        <v>1167600</v>
      </c>
      <c r="D47" s="32">
        <f>SUM(D48:D53)</f>
        <v>576700</v>
      </c>
      <c r="E47" s="32">
        <f>SUM(E48:E53)</f>
        <v>584995</v>
      </c>
      <c r="F47" s="32">
        <f>SUM(F48:F53)</f>
        <v>593704.75</v>
      </c>
      <c r="G47" s="32">
        <f>SUM(G48:G53)</f>
        <v>602849.98750000005</v>
      </c>
      <c r="H47" s="32">
        <f>SUM(C47:G47)</f>
        <v>3525849.7374999998</v>
      </c>
      <c r="I47" s="106"/>
      <c r="J47" s="61"/>
      <c r="L47" s="104">
        <f>SUM(L41:L46)</f>
        <v>49990400</v>
      </c>
      <c r="M47" s="61">
        <v>50000000</v>
      </c>
      <c r="N47" s="104">
        <f>SUM(N41:N46)</f>
        <v>121360000</v>
      </c>
      <c r="O47" s="105">
        <f>C79+D79</f>
        <v>1218000</v>
      </c>
      <c r="Q47" s="104">
        <f>50000000-L47</f>
        <v>9600</v>
      </c>
    </row>
    <row r="48" spans="1:17" ht="23">
      <c r="A48" s="15">
        <v>2.1</v>
      </c>
      <c r="B48" s="8" t="s">
        <v>13</v>
      </c>
      <c r="C48" s="27">
        <f>'JCC &amp; PMU Set-up'!C7+'JCC &amp; PMU Set-up'!C13</f>
        <v>849600</v>
      </c>
      <c r="D48" s="27">
        <f>'JCC &amp; PMU Set-up'!D7+'JCC &amp; PMU Set-up'!D13</f>
        <v>250800</v>
      </c>
      <c r="E48" s="27">
        <f>'JCC &amp; PMU Set-up'!E7+'JCC &amp; PMU Set-up'!E13</f>
        <v>250800</v>
      </c>
      <c r="F48" s="27">
        <f>'JCC &amp; PMU Set-up'!F7+'JCC &amp; PMU Set-up'!F13</f>
        <v>250800</v>
      </c>
      <c r="G48" s="27">
        <f>'JCC &amp; PMU Set-up'!G7+'JCC &amp; PMU Set-up'!G13</f>
        <v>250800</v>
      </c>
      <c r="H48" s="26">
        <f t="shared" ref="H48:H104" si="28">SUM(C48:G48)</f>
        <v>1852800</v>
      </c>
      <c r="J48" s="61" t="s">
        <v>201</v>
      </c>
      <c r="L48">
        <f>L47/Q41*100</f>
        <v>21.117298517780654</v>
      </c>
      <c r="M48" s="59">
        <f>H111</f>
        <v>250000</v>
      </c>
      <c r="N48">
        <f>N47/Q41*100</f>
        <v>51.265749986354592</v>
      </c>
      <c r="O48" s="59">
        <f>H82</f>
        <v>1100000</v>
      </c>
    </row>
    <row r="49" spans="1:16" ht="35.5">
      <c r="A49" s="15">
        <v>2.2000000000000002</v>
      </c>
      <c r="B49" s="8" t="s">
        <v>14</v>
      </c>
      <c r="C49" s="27">
        <f>'JCC &amp; PMU Set-up'!C18</f>
        <v>318000</v>
      </c>
      <c r="D49" s="27">
        <f>'JCC &amp; PMU Set-up'!D18</f>
        <v>325900</v>
      </c>
      <c r="E49" s="27">
        <f>'JCC &amp; PMU Set-up'!E18</f>
        <v>334195</v>
      </c>
      <c r="F49" s="27">
        <f>'JCC &amp; PMU Set-up'!F18</f>
        <v>342904.75</v>
      </c>
      <c r="G49" s="27">
        <f>'JCC &amp; PMU Set-up'!G18</f>
        <v>352049.98749999999</v>
      </c>
      <c r="H49" s="26">
        <f t="shared" si="28"/>
        <v>1673049.7375</v>
      </c>
      <c r="I49" s="95" t="s">
        <v>150</v>
      </c>
      <c r="J49" s="61" t="s">
        <v>250</v>
      </c>
      <c r="M49" s="59">
        <f>H131</f>
        <v>200000</v>
      </c>
      <c r="O49" s="59">
        <f>H124</f>
        <v>160000</v>
      </c>
    </row>
    <row r="50" spans="1:16">
      <c r="A50" s="15">
        <v>2.2999999999999998</v>
      </c>
      <c r="B50" s="8" t="s">
        <v>15</v>
      </c>
      <c r="C50" s="29" t="s">
        <v>136</v>
      </c>
      <c r="D50" s="29" t="s">
        <v>136</v>
      </c>
      <c r="E50" s="29" t="s">
        <v>136</v>
      </c>
      <c r="F50" s="29" t="s">
        <v>136</v>
      </c>
      <c r="G50" s="29" t="s">
        <v>136</v>
      </c>
      <c r="H50" s="26">
        <f t="shared" si="28"/>
        <v>0</v>
      </c>
      <c r="I50" s="95" t="s">
        <v>134</v>
      </c>
      <c r="M50" s="59">
        <f>H140+H144+H149+H152</f>
        <v>160000</v>
      </c>
      <c r="O50" s="59">
        <f>H129+H130</f>
        <v>90000</v>
      </c>
    </row>
    <row r="51" spans="1:16" ht="23">
      <c r="A51" s="15">
        <v>2.4</v>
      </c>
      <c r="B51" s="8" t="s">
        <v>16</v>
      </c>
      <c r="C51" s="29" t="s">
        <v>136</v>
      </c>
      <c r="D51" s="29" t="s">
        <v>136</v>
      </c>
      <c r="E51" s="29" t="s">
        <v>136</v>
      </c>
      <c r="F51" s="29" t="s">
        <v>136</v>
      </c>
      <c r="G51" s="29" t="s">
        <v>136</v>
      </c>
      <c r="H51" s="26">
        <f t="shared" si="28"/>
        <v>0</v>
      </c>
      <c r="I51" s="95" t="s">
        <v>134</v>
      </c>
      <c r="M51" s="104">
        <f>SUM(M41:M50)</f>
        <v>53658049.737499997</v>
      </c>
      <c r="O51" s="59">
        <f>H134+H133</f>
        <v>60000</v>
      </c>
    </row>
    <row r="52" spans="1:16">
      <c r="A52" s="15">
        <v>2.5</v>
      </c>
      <c r="B52" s="8" t="s">
        <v>17</v>
      </c>
      <c r="C52" s="29" t="s">
        <v>136</v>
      </c>
      <c r="D52" s="29" t="s">
        <v>136</v>
      </c>
      <c r="E52" s="29" t="s">
        <v>136</v>
      </c>
      <c r="F52" s="29" t="s">
        <v>136</v>
      </c>
      <c r="G52" s="29" t="s">
        <v>136</v>
      </c>
      <c r="H52" s="26">
        <f t="shared" si="28"/>
        <v>0</v>
      </c>
      <c r="M52">
        <f>M51/Q41*100</f>
        <v>22.666613073484296</v>
      </c>
      <c r="O52" s="59">
        <f>H141+H145+H146+H148+H150+H153+H154</f>
        <v>585000</v>
      </c>
    </row>
    <row r="53" spans="1:16">
      <c r="A53" s="15">
        <v>2.6</v>
      </c>
      <c r="B53" s="7" t="s">
        <v>18</v>
      </c>
      <c r="C53" s="29" t="s">
        <v>136</v>
      </c>
      <c r="D53" s="29" t="s">
        <v>136</v>
      </c>
      <c r="E53" s="29" t="s">
        <v>136</v>
      </c>
      <c r="F53" s="29" t="s">
        <v>136</v>
      </c>
      <c r="G53" s="29" t="s">
        <v>136</v>
      </c>
      <c r="H53" s="26">
        <f t="shared" si="28"/>
        <v>0</v>
      </c>
      <c r="O53" s="104">
        <f>SUM(O41:O52)</f>
        <v>11718800</v>
      </c>
    </row>
    <row r="54" spans="1:16" s="21" customFormat="1">
      <c r="A54" s="17">
        <v>3</v>
      </c>
      <c r="B54" s="6" t="s">
        <v>263</v>
      </c>
      <c r="C54" s="32">
        <f>SUM(C55:C57)</f>
        <v>700000</v>
      </c>
      <c r="D54" s="32">
        <f>C54</f>
        <v>700000</v>
      </c>
      <c r="E54" s="32">
        <f>D54</f>
        <v>700000</v>
      </c>
      <c r="F54" s="32">
        <f>E54</f>
        <v>700000</v>
      </c>
      <c r="G54" s="32">
        <f>F54</f>
        <v>700000</v>
      </c>
      <c r="H54" s="32">
        <f t="shared" si="28"/>
        <v>3500000</v>
      </c>
      <c r="I54" s="100"/>
      <c r="J54" s="61" t="s">
        <v>262</v>
      </c>
      <c r="O54" s="21">
        <f>O53/Q41*100</f>
        <v>4.9503384223804554</v>
      </c>
      <c r="P54" s="21">
        <f>L48+M52+N48+O54</f>
        <v>100</v>
      </c>
    </row>
    <row r="55" spans="1:16">
      <c r="A55" s="15">
        <v>3.1</v>
      </c>
      <c r="B55" s="7" t="s">
        <v>20</v>
      </c>
      <c r="C55" s="29">
        <f>250000</f>
        <v>250000</v>
      </c>
      <c r="D55" s="29">
        <f>C55</f>
        <v>250000</v>
      </c>
      <c r="E55" s="29">
        <f>C55</f>
        <v>250000</v>
      </c>
      <c r="F55" s="29">
        <f>C55</f>
        <v>250000</v>
      </c>
      <c r="G55" s="29">
        <f>C55</f>
        <v>250000</v>
      </c>
      <c r="H55" s="26">
        <f t="shared" si="28"/>
        <v>1250000</v>
      </c>
      <c r="J55" s="61" t="s">
        <v>262</v>
      </c>
    </row>
    <row r="56" spans="1:16">
      <c r="A56" s="15">
        <v>3.2</v>
      </c>
      <c r="B56" s="7" t="s">
        <v>266</v>
      </c>
      <c r="C56" s="29">
        <f>250000</f>
        <v>250000</v>
      </c>
      <c r="D56" s="29">
        <f>C56</f>
        <v>250000</v>
      </c>
      <c r="E56" s="29">
        <f>C56</f>
        <v>250000</v>
      </c>
      <c r="F56" s="29">
        <f>C56</f>
        <v>250000</v>
      </c>
      <c r="G56" s="29">
        <f>D56</f>
        <v>250000</v>
      </c>
      <c r="H56" s="26">
        <f t="shared" si="28"/>
        <v>1250000</v>
      </c>
      <c r="J56" s="61" t="s">
        <v>262</v>
      </c>
    </row>
    <row r="57" spans="1:16" ht="23">
      <c r="A57" s="15">
        <v>3.3</v>
      </c>
      <c r="B57" s="8" t="s">
        <v>265</v>
      </c>
      <c r="C57" s="29">
        <f>200000</f>
        <v>200000</v>
      </c>
      <c r="D57" s="29">
        <f t="shared" ref="D57:G57" si="29">200000</f>
        <v>200000</v>
      </c>
      <c r="E57" s="29">
        <f t="shared" si="29"/>
        <v>200000</v>
      </c>
      <c r="F57" s="29">
        <f t="shared" si="29"/>
        <v>200000</v>
      </c>
      <c r="G57" s="29">
        <f t="shared" si="29"/>
        <v>200000</v>
      </c>
      <c r="H57" s="26">
        <f t="shared" si="28"/>
        <v>1000000</v>
      </c>
      <c r="J57" s="61" t="s">
        <v>262</v>
      </c>
    </row>
    <row r="58" spans="1:16">
      <c r="A58" s="15">
        <v>3.4</v>
      </c>
      <c r="B58" s="7" t="s">
        <v>21</v>
      </c>
      <c r="C58" s="29" t="s">
        <v>136</v>
      </c>
      <c r="D58" s="29" t="s">
        <v>136</v>
      </c>
      <c r="E58" s="29" t="s">
        <v>136</v>
      </c>
      <c r="F58" s="29" t="s">
        <v>136</v>
      </c>
      <c r="G58" s="29" t="s">
        <v>136</v>
      </c>
      <c r="H58" s="26">
        <f t="shared" si="28"/>
        <v>0</v>
      </c>
    </row>
    <row r="59" spans="1:16" s="21" customFormat="1">
      <c r="A59" s="17">
        <v>4</v>
      </c>
      <c r="B59" s="6" t="s">
        <v>22</v>
      </c>
      <c r="C59" s="32">
        <f>C60</f>
        <v>1000000</v>
      </c>
      <c r="D59" s="32">
        <f>D60</f>
        <v>2000000</v>
      </c>
      <c r="E59" s="32">
        <f>E60</f>
        <v>1000000</v>
      </c>
      <c r="F59" s="32">
        <f>F60</f>
        <v>1000000</v>
      </c>
      <c r="G59" s="32">
        <f>G60</f>
        <v>500000</v>
      </c>
      <c r="H59" s="32">
        <f t="shared" si="28"/>
        <v>5500000</v>
      </c>
      <c r="I59" s="100"/>
      <c r="J59" s="61"/>
    </row>
    <row r="60" spans="1:16">
      <c r="A60" s="15">
        <v>4.0999999999999996</v>
      </c>
      <c r="B60" s="7" t="s">
        <v>23</v>
      </c>
      <c r="C60" s="27">
        <v>1000000</v>
      </c>
      <c r="D60" s="27">
        <v>2000000</v>
      </c>
      <c r="E60" s="27">
        <f>1000000</f>
        <v>1000000</v>
      </c>
      <c r="F60" s="27">
        <f>E60</f>
        <v>1000000</v>
      </c>
      <c r="G60" s="27">
        <v>500000</v>
      </c>
      <c r="H60" s="26">
        <f t="shared" si="28"/>
        <v>5500000</v>
      </c>
      <c r="J60" s="61" t="s">
        <v>262</v>
      </c>
    </row>
    <row r="61" spans="1:16" s="21" customFormat="1">
      <c r="A61" s="17">
        <v>5</v>
      </c>
      <c r="B61" s="6" t="s">
        <v>24</v>
      </c>
      <c r="C61" s="32">
        <f>SUM(C62:C66)</f>
        <v>465000</v>
      </c>
      <c r="D61" s="32">
        <f>SUM(D62:D66)</f>
        <v>120000</v>
      </c>
      <c r="E61" s="32">
        <f>SUM(E62:E66)</f>
        <v>120000</v>
      </c>
      <c r="F61" s="32">
        <f>SUM(F62:F66)</f>
        <v>120000</v>
      </c>
      <c r="G61" s="32">
        <f>SUM(G62:G66)</f>
        <v>120000</v>
      </c>
      <c r="H61" s="32">
        <f t="shared" si="28"/>
        <v>945000</v>
      </c>
      <c r="I61" s="100"/>
      <c r="J61" s="61"/>
    </row>
    <row r="62" spans="1:16" ht="35.5">
      <c r="A62" s="15">
        <v>5.0999999999999996</v>
      </c>
      <c r="B62" s="8" t="s">
        <v>25</v>
      </c>
      <c r="C62" s="27">
        <f>200*100*6</f>
        <v>120000</v>
      </c>
      <c r="D62" s="27">
        <f>C62</f>
        <v>120000</v>
      </c>
      <c r="E62" s="27">
        <f>C62</f>
        <v>120000</v>
      </c>
      <c r="F62" s="27">
        <f>C62</f>
        <v>120000</v>
      </c>
      <c r="G62" s="27">
        <f>C62</f>
        <v>120000</v>
      </c>
      <c r="H62" s="26">
        <f t="shared" si="28"/>
        <v>600000</v>
      </c>
      <c r="I62" s="101" t="s">
        <v>158</v>
      </c>
      <c r="J62" s="61" t="s">
        <v>201</v>
      </c>
    </row>
    <row r="63" spans="1:16" ht="35.5">
      <c r="A63" s="15">
        <v>5.2</v>
      </c>
      <c r="B63" s="8" t="s">
        <v>26</v>
      </c>
      <c r="C63" s="27">
        <f>15*2500*6</f>
        <v>225000</v>
      </c>
      <c r="D63" s="27"/>
      <c r="E63" s="27"/>
      <c r="F63" s="27"/>
      <c r="G63" s="27"/>
      <c r="H63" s="26">
        <f t="shared" si="28"/>
        <v>225000</v>
      </c>
      <c r="I63" s="95" t="s">
        <v>159</v>
      </c>
      <c r="J63" s="61" t="s">
        <v>201</v>
      </c>
    </row>
    <row r="64" spans="1:16">
      <c r="A64" s="15">
        <v>5.3</v>
      </c>
      <c r="B64" s="7" t="s">
        <v>27</v>
      </c>
      <c r="C64" s="27">
        <f>20000*6</f>
        <v>120000</v>
      </c>
      <c r="D64" s="27"/>
      <c r="E64" s="27"/>
      <c r="F64" s="27"/>
      <c r="G64" s="27"/>
      <c r="H64" s="26">
        <f t="shared" si="28"/>
        <v>120000</v>
      </c>
      <c r="I64" s="95" t="s">
        <v>160</v>
      </c>
      <c r="J64" s="61" t="s">
        <v>201</v>
      </c>
    </row>
    <row r="65" spans="1:10">
      <c r="A65" s="15">
        <v>5.4</v>
      </c>
      <c r="B65" s="5" t="s">
        <v>28</v>
      </c>
      <c r="C65" s="45" t="s">
        <v>136</v>
      </c>
      <c r="D65" s="45" t="s">
        <v>136</v>
      </c>
      <c r="E65" s="45" t="s">
        <v>136</v>
      </c>
      <c r="F65" s="45" t="s">
        <v>136</v>
      </c>
      <c r="G65" s="45" t="s">
        <v>136</v>
      </c>
      <c r="H65" s="26">
        <f t="shared" si="28"/>
        <v>0</v>
      </c>
    </row>
    <row r="66" spans="1:10">
      <c r="A66" s="15">
        <v>5.5</v>
      </c>
      <c r="B66" s="7" t="s">
        <v>29</v>
      </c>
      <c r="C66" s="45" t="s">
        <v>136</v>
      </c>
      <c r="D66" s="45" t="s">
        <v>136</v>
      </c>
      <c r="E66" s="45" t="s">
        <v>136</v>
      </c>
      <c r="F66" s="45" t="s">
        <v>136</v>
      </c>
      <c r="G66" s="45" t="s">
        <v>136</v>
      </c>
      <c r="H66" s="26">
        <f t="shared" si="28"/>
        <v>0</v>
      </c>
      <c r="I66" s="95" t="s">
        <v>134</v>
      </c>
    </row>
    <row r="67" spans="1:10" s="22" customFormat="1">
      <c r="A67" s="9" t="s">
        <v>31</v>
      </c>
      <c r="B67" s="9"/>
      <c r="C67" s="31">
        <f>C68+C71+C77+C82</f>
        <v>2098300</v>
      </c>
      <c r="D67" s="31">
        <f>D68+D71+D77+D82</f>
        <v>1687700</v>
      </c>
      <c r="E67" s="31">
        <f>E68+E71+E77+E82</f>
        <v>1079000</v>
      </c>
      <c r="F67" s="31">
        <f>F68+F71+F77+F82</f>
        <v>1115700</v>
      </c>
      <c r="G67" s="31">
        <f>G68+G71+G77+G82</f>
        <v>965700</v>
      </c>
      <c r="H67" s="31">
        <f>SUM(C67:G67)</f>
        <v>6946400</v>
      </c>
      <c r="I67" s="97"/>
      <c r="J67" s="1"/>
    </row>
    <row r="68" spans="1:10" s="21" customFormat="1">
      <c r="A68" s="17">
        <v>1</v>
      </c>
      <c r="B68" s="6" t="s">
        <v>32</v>
      </c>
      <c r="C68" s="32">
        <f>C69+C70</f>
        <v>60000</v>
      </c>
      <c r="D68" s="32">
        <f>D69+D70</f>
        <v>0</v>
      </c>
      <c r="E68" s="32">
        <f>E69+E70</f>
        <v>60000</v>
      </c>
      <c r="F68" s="32">
        <f>F69+F70</f>
        <v>0</v>
      </c>
      <c r="G68" s="32">
        <f>G69+G70</f>
        <v>0</v>
      </c>
      <c r="H68" s="32">
        <f t="shared" si="28"/>
        <v>120000</v>
      </c>
      <c r="I68" s="100"/>
      <c r="J68" s="61"/>
    </row>
    <row r="69" spans="1:10">
      <c r="A69" s="15">
        <v>1.1000000000000001</v>
      </c>
      <c r="B69" s="10" t="s">
        <v>33</v>
      </c>
      <c r="C69" s="27">
        <f>10000*6</f>
        <v>60000</v>
      </c>
      <c r="D69" s="27"/>
      <c r="E69" s="27"/>
      <c r="F69" s="27"/>
      <c r="G69" s="27"/>
      <c r="H69" s="26">
        <f t="shared" si="28"/>
        <v>60000</v>
      </c>
      <c r="I69" s="95" t="s">
        <v>161</v>
      </c>
      <c r="J69" s="61" t="s">
        <v>200</v>
      </c>
    </row>
    <row r="70" spans="1:10">
      <c r="A70" s="15">
        <v>1.2</v>
      </c>
      <c r="B70" s="10" t="s">
        <v>34</v>
      </c>
      <c r="C70" s="27"/>
      <c r="D70" s="27"/>
      <c r="E70" s="27">
        <v>60000</v>
      </c>
      <c r="F70" s="27"/>
      <c r="G70" s="27"/>
      <c r="H70" s="26">
        <f t="shared" si="28"/>
        <v>60000</v>
      </c>
      <c r="J70" s="61" t="s">
        <v>250</v>
      </c>
    </row>
    <row r="71" spans="1:10" s="21" customFormat="1">
      <c r="A71" s="17">
        <v>2</v>
      </c>
      <c r="B71" s="6" t="s">
        <v>35</v>
      </c>
      <c r="C71" s="32">
        <f>SUM(C72:C76)</f>
        <v>936000</v>
      </c>
      <c r="D71" s="32">
        <f>SUM(D72:D76)</f>
        <v>672000</v>
      </c>
      <c r="E71" s="32">
        <f>SUM(E72:E76)</f>
        <v>0</v>
      </c>
      <c r="F71" s="32">
        <f>SUM(F72:F76)</f>
        <v>0</v>
      </c>
      <c r="G71" s="32">
        <f>SUM(G72:G76)</f>
        <v>0</v>
      </c>
      <c r="H71" s="32">
        <f t="shared" si="28"/>
        <v>1608000</v>
      </c>
      <c r="I71" s="106"/>
      <c r="J71" s="61"/>
    </row>
    <row r="72" spans="1:10" ht="35.5">
      <c r="A72" s="15">
        <v>2.1</v>
      </c>
      <c r="B72" s="7" t="s">
        <v>36</v>
      </c>
      <c r="C72" s="27">
        <f>200000*6*0.6</f>
        <v>720000</v>
      </c>
      <c r="D72" s="27">
        <f>200000*6*0.4</f>
        <v>480000</v>
      </c>
      <c r="E72" s="27"/>
      <c r="F72" s="27"/>
      <c r="G72" s="27"/>
      <c r="H72" s="26">
        <f t="shared" si="28"/>
        <v>1200000</v>
      </c>
      <c r="I72" s="95" t="s">
        <v>162</v>
      </c>
      <c r="J72" s="61" t="s">
        <v>260</v>
      </c>
    </row>
    <row r="73" spans="1:10">
      <c r="A73" s="15">
        <v>2.2000000000000002</v>
      </c>
      <c r="B73" s="7" t="s">
        <v>37</v>
      </c>
      <c r="C73" s="29" t="s">
        <v>136</v>
      </c>
      <c r="D73" s="29" t="s">
        <v>136</v>
      </c>
      <c r="E73" s="29" t="s">
        <v>136</v>
      </c>
      <c r="F73" s="29" t="s">
        <v>136</v>
      </c>
      <c r="G73" s="29" t="s">
        <v>136</v>
      </c>
      <c r="H73" s="26">
        <f t="shared" si="28"/>
        <v>0</v>
      </c>
    </row>
    <row r="74" spans="1:10" ht="35.5">
      <c r="A74" s="15">
        <v>2.2999999999999998</v>
      </c>
      <c r="B74" s="8" t="s">
        <v>38</v>
      </c>
      <c r="C74" s="27">
        <f>20000*6*0.6</f>
        <v>72000</v>
      </c>
      <c r="D74" s="27">
        <f>20000*6*0.4</f>
        <v>48000</v>
      </c>
      <c r="E74" s="27"/>
      <c r="F74" s="27"/>
      <c r="G74" s="27"/>
      <c r="H74" s="26">
        <f t="shared" si="28"/>
        <v>120000</v>
      </c>
      <c r="I74" s="95" t="s">
        <v>163</v>
      </c>
      <c r="J74" s="61" t="s">
        <v>201</v>
      </c>
    </row>
    <row r="75" spans="1:10" ht="24">
      <c r="A75" s="15">
        <v>2.4</v>
      </c>
      <c r="B75" s="8" t="s">
        <v>39</v>
      </c>
      <c r="C75" s="27">
        <f>20000*6</f>
        <v>120000</v>
      </c>
      <c r="D75" s="27">
        <f>20000*6</f>
        <v>120000</v>
      </c>
      <c r="E75" s="27"/>
      <c r="F75" s="27"/>
      <c r="G75" s="27"/>
      <c r="H75" s="26">
        <f t="shared" si="28"/>
        <v>240000</v>
      </c>
      <c r="I75" s="95" t="s">
        <v>166</v>
      </c>
      <c r="J75" s="61" t="s">
        <v>201</v>
      </c>
    </row>
    <row r="76" spans="1:10" ht="24">
      <c r="A76" s="15">
        <v>2.5</v>
      </c>
      <c r="B76" s="8" t="s">
        <v>40</v>
      </c>
      <c r="C76" s="27">
        <f>2*2000*6</f>
        <v>24000</v>
      </c>
      <c r="D76" s="27">
        <f>C76</f>
        <v>24000</v>
      </c>
      <c r="E76" s="27"/>
      <c r="F76" s="27"/>
      <c r="G76" s="27"/>
      <c r="H76" s="26">
        <f t="shared" si="28"/>
        <v>48000</v>
      </c>
      <c r="I76" s="95" t="s">
        <v>165</v>
      </c>
      <c r="J76" s="61" t="s">
        <v>201</v>
      </c>
    </row>
    <row r="77" spans="1:10" s="21" customFormat="1">
      <c r="A77" s="17">
        <v>3</v>
      </c>
      <c r="B77" s="6" t="s">
        <v>41</v>
      </c>
      <c r="C77" s="32">
        <f>SUM(C78:C81)</f>
        <v>1002300</v>
      </c>
      <c r="D77" s="32">
        <f>SUM(D78:D81)</f>
        <v>815700</v>
      </c>
      <c r="E77" s="32">
        <f>SUM(E78:E81)</f>
        <v>819000</v>
      </c>
      <c r="F77" s="32">
        <f>SUM(F78:F81)</f>
        <v>815700</v>
      </c>
      <c r="G77" s="32">
        <f>SUM(G78:G81)</f>
        <v>665700</v>
      </c>
      <c r="H77" s="32">
        <f t="shared" si="28"/>
        <v>4118400</v>
      </c>
      <c r="I77" s="106"/>
      <c r="J77" s="61"/>
    </row>
    <row r="78" spans="1:10" ht="24">
      <c r="A78" s="18">
        <v>3.1</v>
      </c>
      <c r="B78" s="12" t="s">
        <v>42</v>
      </c>
      <c r="C78" s="27">
        <f>25000*6</f>
        <v>150000</v>
      </c>
      <c r="D78" s="27">
        <f>25000*6</f>
        <v>150000</v>
      </c>
      <c r="E78" s="27"/>
      <c r="F78" s="27">
        <f>25000*6</f>
        <v>150000</v>
      </c>
      <c r="G78" s="27"/>
      <c r="H78" s="26">
        <f t="shared" si="28"/>
        <v>450000</v>
      </c>
      <c r="I78" s="95" t="s">
        <v>164</v>
      </c>
      <c r="J78" s="61" t="s">
        <v>201</v>
      </c>
    </row>
    <row r="79" spans="1:10" ht="23">
      <c r="A79" s="18">
        <v>3.2</v>
      </c>
      <c r="B79" s="12" t="s">
        <v>43</v>
      </c>
      <c r="C79" s="27">
        <f>'HIA Patrol'!E25+'HIA Patrol'!E28</f>
        <v>762300</v>
      </c>
      <c r="D79" s="27">
        <f>'HIA Patrol'!E28</f>
        <v>455700</v>
      </c>
      <c r="E79" s="27">
        <f>D79+'HIA Patrol'!E25/2</f>
        <v>609000</v>
      </c>
      <c r="F79" s="27">
        <f>D79</f>
        <v>455700</v>
      </c>
      <c r="G79" s="27">
        <f>F79</f>
        <v>455700</v>
      </c>
      <c r="H79" s="26">
        <f t="shared" si="28"/>
        <v>2738400</v>
      </c>
      <c r="I79" s="95" t="s">
        <v>192</v>
      </c>
      <c r="J79" s="61" t="s">
        <v>262</v>
      </c>
    </row>
    <row r="80" spans="1:10" ht="23">
      <c r="A80" s="18">
        <v>3.3</v>
      </c>
      <c r="B80" s="12" t="s">
        <v>44</v>
      </c>
      <c r="C80" s="27">
        <f>15000*6</f>
        <v>90000</v>
      </c>
      <c r="D80" s="27">
        <f t="shared" ref="D80:G80" si="30">C80</f>
        <v>90000</v>
      </c>
      <c r="E80" s="27">
        <f t="shared" si="30"/>
        <v>90000</v>
      </c>
      <c r="F80" s="27">
        <f t="shared" si="30"/>
        <v>90000</v>
      </c>
      <c r="G80" s="27">
        <f t="shared" si="30"/>
        <v>90000</v>
      </c>
      <c r="H80" s="26">
        <f t="shared" si="28"/>
        <v>450000</v>
      </c>
      <c r="I80" s="95" t="s">
        <v>134</v>
      </c>
      <c r="J80" s="61" t="s">
        <v>201</v>
      </c>
    </row>
    <row r="81" spans="1:11">
      <c r="A81" s="18">
        <v>3.4</v>
      </c>
      <c r="B81" s="12" t="s">
        <v>45</v>
      </c>
      <c r="C81" s="46"/>
      <c r="D81" s="46">
        <f>20000*6</f>
        <v>120000</v>
      </c>
      <c r="E81" s="46">
        <f>D81:D82</f>
        <v>120000</v>
      </c>
      <c r="F81" s="46">
        <f>D81</f>
        <v>120000</v>
      </c>
      <c r="G81" s="46">
        <f>F81</f>
        <v>120000</v>
      </c>
      <c r="H81" s="26">
        <f t="shared" si="28"/>
        <v>480000</v>
      </c>
      <c r="J81" s="61" t="s">
        <v>250</v>
      </c>
    </row>
    <row r="82" spans="1:11" s="21" customFormat="1">
      <c r="A82" s="17">
        <v>4</v>
      </c>
      <c r="B82" s="6" t="s">
        <v>46</v>
      </c>
      <c r="C82" s="32">
        <f>SUM(C83:C86)</f>
        <v>100000</v>
      </c>
      <c r="D82" s="32">
        <f>SUM(D83:D86)</f>
        <v>200000</v>
      </c>
      <c r="E82" s="32">
        <f>SUM(E83:E86)</f>
        <v>200000</v>
      </c>
      <c r="F82" s="32">
        <f>SUM(F83:F86)</f>
        <v>300000</v>
      </c>
      <c r="G82" s="32">
        <f>SUM(G83:G86)</f>
        <v>300000</v>
      </c>
      <c r="H82" s="32">
        <f t="shared" si="28"/>
        <v>1100000</v>
      </c>
      <c r="I82" s="100"/>
      <c r="J82" s="61"/>
    </row>
    <row r="83" spans="1:11">
      <c r="A83" s="15">
        <v>4.0999999999999996</v>
      </c>
      <c r="B83" s="7" t="s">
        <v>47</v>
      </c>
      <c r="C83" s="29">
        <v>100000</v>
      </c>
      <c r="D83" s="29"/>
      <c r="E83" s="29"/>
      <c r="F83" s="29"/>
      <c r="G83" s="29"/>
      <c r="H83" s="26">
        <f t="shared" si="28"/>
        <v>100000</v>
      </c>
      <c r="I83" s="95" t="s">
        <v>167</v>
      </c>
      <c r="J83" s="61" t="s">
        <v>201</v>
      </c>
    </row>
    <row r="84" spans="1:11">
      <c r="A84" s="15">
        <v>4.2</v>
      </c>
      <c r="B84" s="7" t="s">
        <v>48</v>
      </c>
      <c r="C84" s="29"/>
      <c r="D84" s="29">
        <v>200000</v>
      </c>
      <c r="E84" s="29"/>
      <c r="F84" s="29"/>
      <c r="G84" s="29"/>
      <c r="H84" s="26">
        <f t="shared" si="28"/>
        <v>200000</v>
      </c>
      <c r="J84" s="61" t="s">
        <v>201</v>
      </c>
    </row>
    <row r="85" spans="1:11">
      <c r="A85" s="15">
        <v>4.3</v>
      </c>
      <c r="B85" s="7" t="s">
        <v>49</v>
      </c>
      <c r="C85" s="29"/>
      <c r="D85" s="29"/>
      <c r="E85" s="29">
        <v>200000</v>
      </c>
      <c r="F85" s="29">
        <f>E85</f>
        <v>200000</v>
      </c>
      <c r="G85" s="29">
        <f>F85</f>
        <v>200000</v>
      </c>
      <c r="H85" s="26">
        <f t="shared" si="28"/>
        <v>600000</v>
      </c>
      <c r="J85" s="61" t="s">
        <v>201</v>
      </c>
    </row>
    <row r="86" spans="1:11">
      <c r="A86" s="15">
        <v>4.4000000000000004</v>
      </c>
      <c r="B86" s="7" t="s">
        <v>50</v>
      </c>
      <c r="C86" s="27"/>
      <c r="D86" s="27"/>
      <c r="E86" s="27"/>
      <c r="F86" s="27">
        <v>100000</v>
      </c>
      <c r="G86" s="27">
        <f>F86</f>
        <v>100000</v>
      </c>
      <c r="H86" s="26">
        <f t="shared" si="28"/>
        <v>200000</v>
      </c>
      <c r="I86" s="95" t="s">
        <v>134</v>
      </c>
      <c r="J86" s="61" t="s">
        <v>201</v>
      </c>
    </row>
    <row r="87" spans="1:11" s="1" customFormat="1">
      <c r="A87" s="9" t="s">
        <v>51</v>
      </c>
      <c r="B87" s="9"/>
      <c r="C87" s="31">
        <f>C88+C94+C103+C108</f>
        <v>29800000</v>
      </c>
      <c r="D87" s="31">
        <f>D88+D94+D103+D108</f>
        <v>29570000</v>
      </c>
      <c r="E87" s="31">
        <f>E88+E94+E103+E108</f>
        <v>29570000</v>
      </c>
      <c r="F87" s="31">
        <f>F88+F94+F103+F108</f>
        <v>29570000</v>
      </c>
      <c r="G87" s="31">
        <f>G88+G94+G103+G108</f>
        <v>29570000</v>
      </c>
      <c r="H87" s="31">
        <f>SUM(C87:G87)</f>
        <v>148080000</v>
      </c>
      <c r="I87" s="97"/>
    </row>
    <row r="88" spans="1:11" s="21" customFormat="1">
      <c r="A88" s="17">
        <v>1</v>
      </c>
      <c r="B88" s="6" t="s">
        <v>52</v>
      </c>
      <c r="C88" s="32">
        <f>SUM(C89:C93)</f>
        <v>100000</v>
      </c>
      <c r="D88" s="32">
        <f>SUM(D89:D93)</f>
        <v>20000</v>
      </c>
      <c r="E88" s="32">
        <f>SUM(E89:E93)</f>
        <v>20000</v>
      </c>
      <c r="F88" s="32">
        <f>SUM(F89:F93)</f>
        <v>20000</v>
      </c>
      <c r="G88" s="32">
        <f>SUM(G89:G93)</f>
        <v>20000</v>
      </c>
      <c r="H88" s="32">
        <f t="shared" si="28"/>
        <v>180000</v>
      </c>
      <c r="I88" s="100" t="s">
        <v>134</v>
      </c>
      <c r="J88" s="61"/>
    </row>
    <row r="89" spans="1:11">
      <c r="A89" s="18">
        <v>1.1000000000000001</v>
      </c>
      <c r="B89" s="11" t="s">
        <v>53</v>
      </c>
      <c r="C89" s="27">
        <v>20000</v>
      </c>
      <c r="D89" s="27">
        <f>C89</f>
        <v>20000</v>
      </c>
      <c r="E89" s="27">
        <f>C89</f>
        <v>20000</v>
      </c>
      <c r="F89" s="27">
        <f>E89</f>
        <v>20000</v>
      </c>
      <c r="G89" s="27">
        <f>F89</f>
        <v>20000</v>
      </c>
      <c r="H89" s="26">
        <f t="shared" si="28"/>
        <v>100000</v>
      </c>
      <c r="I89" s="95" t="s">
        <v>134</v>
      </c>
      <c r="J89" s="61" t="s">
        <v>200</v>
      </c>
      <c r="K89" t="s">
        <v>261</v>
      </c>
    </row>
    <row r="90" spans="1:11" ht="23">
      <c r="A90" s="19">
        <v>1.2</v>
      </c>
      <c r="B90" s="13" t="s">
        <v>54</v>
      </c>
      <c r="C90" s="27">
        <v>80000</v>
      </c>
      <c r="D90" s="27"/>
      <c r="E90" s="27"/>
      <c r="F90" s="27"/>
      <c r="G90" s="27"/>
      <c r="H90" s="26">
        <f t="shared" si="28"/>
        <v>80000</v>
      </c>
      <c r="I90" s="95" t="s">
        <v>134</v>
      </c>
      <c r="J90" s="61" t="s">
        <v>250</v>
      </c>
    </row>
    <row r="91" spans="1:11">
      <c r="A91" s="19">
        <v>1.3</v>
      </c>
      <c r="B91" s="13" t="s">
        <v>55</v>
      </c>
      <c r="C91" s="27" t="s">
        <v>168</v>
      </c>
      <c r="D91" s="27"/>
      <c r="E91" s="27"/>
      <c r="F91" s="27"/>
      <c r="G91" s="27"/>
      <c r="H91" s="26">
        <f t="shared" si="28"/>
        <v>0</v>
      </c>
      <c r="I91" s="95" t="s">
        <v>134</v>
      </c>
    </row>
    <row r="92" spans="1:11" ht="23">
      <c r="A92" s="19">
        <v>1.4</v>
      </c>
      <c r="B92" s="13" t="s">
        <v>56</v>
      </c>
      <c r="C92" s="27" t="s">
        <v>168</v>
      </c>
      <c r="D92" s="27"/>
      <c r="E92" s="27"/>
      <c r="F92" s="27"/>
      <c r="G92" s="27"/>
      <c r="H92" s="26">
        <f t="shared" si="28"/>
        <v>0</v>
      </c>
      <c r="I92" s="95" t="s">
        <v>134</v>
      </c>
    </row>
    <row r="93" spans="1:11">
      <c r="A93" s="19">
        <v>1.5</v>
      </c>
      <c r="B93" s="13" t="s">
        <v>57</v>
      </c>
      <c r="C93" s="27" t="s">
        <v>168</v>
      </c>
      <c r="D93" s="29"/>
      <c r="E93" s="29"/>
      <c r="F93" s="29"/>
      <c r="G93" s="29"/>
      <c r="H93" s="26">
        <f t="shared" si="28"/>
        <v>0</v>
      </c>
    </row>
    <row r="94" spans="1:11" s="21" customFormat="1">
      <c r="A94" s="17">
        <v>2</v>
      </c>
      <c r="B94" s="6" t="s">
        <v>58</v>
      </c>
      <c r="C94" s="32">
        <f>SUM(C95:C102)</f>
        <v>150000</v>
      </c>
      <c r="D94" s="32">
        <f>SUM(D95:D102)</f>
        <v>0</v>
      </c>
      <c r="E94" s="32">
        <f>SUM(E95:E102)</f>
        <v>0</v>
      </c>
      <c r="F94" s="32">
        <f>SUM(F95:F102)</f>
        <v>0</v>
      </c>
      <c r="G94" s="32">
        <f>SUM(G95:G102)</f>
        <v>0</v>
      </c>
      <c r="H94" s="32">
        <f t="shared" si="28"/>
        <v>150000</v>
      </c>
      <c r="I94" s="95"/>
      <c r="J94" s="61"/>
    </row>
    <row r="95" spans="1:11">
      <c r="A95" s="15">
        <v>2.1</v>
      </c>
      <c r="B95" s="7" t="s">
        <v>59</v>
      </c>
      <c r="C95" s="29">
        <v>150000</v>
      </c>
      <c r="D95" s="29"/>
      <c r="E95" s="29"/>
      <c r="F95" s="29"/>
      <c r="G95" s="29"/>
      <c r="H95" s="26">
        <f t="shared" si="28"/>
        <v>150000</v>
      </c>
      <c r="J95" s="61" t="s">
        <v>200</v>
      </c>
    </row>
    <row r="96" spans="1:11">
      <c r="A96" s="15">
        <v>2.2000000000000002</v>
      </c>
      <c r="B96" s="8" t="s">
        <v>60</v>
      </c>
      <c r="C96" s="27" t="s">
        <v>169</v>
      </c>
      <c r="D96" s="27"/>
      <c r="E96" s="27"/>
      <c r="F96" s="27"/>
      <c r="G96" s="27"/>
      <c r="H96" s="26">
        <f t="shared" si="28"/>
        <v>0</v>
      </c>
    </row>
    <row r="97" spans="1:14">
      <c r="A97" s="15">
        <v>2.2999999999999998</v>
      </c>
      <c r="B97" s="13" t="s">
        <v>61</v>
      </c>
      <c r="C97" s="27" t="s">
        <v>169</v>
      </c>
      <c r="D97" s="27"/>
      <c r="E97" s="27"/>
      <c r="F97" s="27"/>
      <c r="G97" s="27"/>
      <c r="H97" s="26">
        <f t="shared" si="28"/>
        <v>0</v>
      </c>
    </row>
    <row r="98" spans="1:14">
      <c r="A98" s="15">
        <v>2.4</v>
      </c>
      <c r="B98" s="8" t="s">
        <v>62</v>
      </c>
      <c r="C98" s="27" t="s">
        <v>169</v>
      </c>
      <c r="D98" s="27"/>
      <c r="E98" s="27"/>
      <c r="F98" s="27"/>
      <c r="G98" s="27"/>
      <c r="H98" s="26">
        <f t="shared" si="28"/>
        <v>0</v>
      </c>
    </row>
    <row r="99" spans="1:14">
      <c r="A99" s="15">
        <v>2.5</v>
      </c>
      <c r="B99" s="8" t="s">
        <v>63</v>
      </c>
      <c r="C99" s="27" t="s">
        <v>169</v>
      </c>
      <c r="D99" s="27"/>
      <c r="E99" s="27"/>
      <c r="F99" s="27"/>
      <c r="G99" s="27"/>
      <c r="H99" s="26">
        <f t="shared" si="28"/>
        <v>0</v>
      </c>
    </row>
    <row r="100" spans="1:14">
      <c r="A100" s="15">
        <v>2.6</v>
      </c>
      <c r="B100" s="8" t="s">
        <v>64</v>
      </c>
      <c r="C100" s="27" t="s">
        <v>169</v>
      </c>
      <c r="D100" s="27"/>
      <c r="E100" s="27"/>
      <c r="F100" s="27"/>
      <c r="G100" s="27"/>
      <c r="H100" s="26">
        <f t="shared" si="28"/>
        <v>0</v>
      </c>
    </row>
    <row r="101" spans="1:14" ht="23">
      <c r="A101" s="15">
        <v>2.7</v>
      </c>
      <c r="B101" s="8" t="s">
        <v>65</v>
      </c>
      <c r="C101" s="27" t="s">
        <v>169</v>
      </c>
      <c r="D101" s="27"/>
      <c r="E101" s="27"/>
      <c r="F101" s="27"/>
      <c r="G101" s="27"/>
      <c r="H101" s="26">
        <f t="shared" si="28"/>
        <v>0</v>
      </c>
    </row>
    <row r="102" spans="1:14">
      <c r="A102" s="15">
        <v>2.8</v>
      </c>
      <c r="B102" s="8" t="s">
        <v>66</v>
      </c>
      <c r="C102" s="27" t="s">
        <v>169</v>
      </c>
      <c r="D102" s="27"/>
      <c r="E102" s="27"/>
      <c r="F102" s="27"/>
      <c r="G102" s="27"/>
      <c r="H102" s="26">
        <f t="shared" si="28"/>
        <v>0</v>
      </c>
    </row>
    <row r="103" spans="1:14" s="21" customFormat="1">
      <c r="A103" s="17">
        <v>3</v>
      </c>
      <c r="B103" s="6" t="s">
        <v>67</v>
      </c>
      <c r="C103" s="32">
        <f>SUM(C104:C107)</f>
        <v>29500000</v>
      </c>
      <c r="D103" s="32">
        <f>SUM(D104:D107)</f>
        <v>29500000</v>
      </c>
      <c r="E103" s="32">
        <f>SUM(E104:E107)</f>
        <v>29500000</v>
      </c>
      <c r="F103" s="32">
        <f>SUM(F104:F107)</f>
        <v>29500000</v>
      </c>
      <c r="G103" s="32">
        <f>SUM(G104:G107)</f>
        <v>29500000</v>
      </c>
      <c r="H103" s="32">
        <f t="shared" si="28"/>
        <v>147500000</v>
      </c>
      <c r="I103" s="100"/>
      <c r="J103" s="61"/>
    </row>
    <row r="104" spans="1:14" ht="23">
      <c r="A104" s="15">
        <v>3.1</v>
      </c>
      <c r="B104" s="8" t="s">
        <v>68</v>
      </c>
      <c r="C104" s="29" t="s">
        <v>136</v>
      </c>
      <c r="D104" s="29" t="s">
        <v>136</v>
      </c>
      <c r="E104" s="29" t="s">
        <v>136</v>
      </c>
      <c r="F104" s="29" t="s">
        <v>136</v>
      </c>
      <c r="G104" s="29" t="s">
        <v>136</v>
      </c>
      <c r="H104" s="26">
        <f t="shared" si="28"/>
        <v>0</v>
      </c>
      <c r="J104" s="102" t="s">
        <v>200</v>
      </c>
    </row>
    <row r="105" spans="1:14" ht="35.5">
      <c r="A105" s="15">
        <v>3.2</v>
      </c>
      <c r="B105" s="13" t="s">
        <v>69</v>
      </c>
      <c r="C105" s="27">
        <f>40*1500000*0.4</f>
        <v>24000000</v>
      </c>
      <c r="D105" s="27">
        <f>C105</f>
        <v>24000000</v>
      </c>
      <c r="E105" s="27">
        <f>D105</f>
        <v>24000000</v>
      </c>
      <c r="F105" s="27">
        <f>E105</f>
        <v>24000000</v>
      </c>
      <c r="G105" s="27">
        <f>F105</f>
        <v>24000000</v>
      </c>
      <c r="H105" s="26">
        <f t="shared" ref="H105:H158" si="31">SUM(C105:G105)</f>
        <v>120000000</v>
      </c>
      <c r="I105" s="95" t="s">
        <v>170</v>
      </c>
      <c r="J105" s="61" t="s">
        <v>260</v>
      </c>
      <c r="L105" t="s">
        <v>259</v>
      </c>
    </row>
    <row r="106" spans="1:14" ht="23">
      <c r="A106" s="14">
        <v>3.3</v>
      </c>
      <c r="B106" s="8" t="s">
        <v>70</v>
      </c>
      <c r="C106" s="29">
        <v>5500000</v>
      </c>
      <c r="D106" s="29">
        <f>C106</f>
        <v>5500000</v>
      </c>
      <c r="E106" s="29">
        <f>C106</f>
        <v>5500000</v>
      </c>
      <c r="F106" s="29">
        <f>C106</f>
        <v>5500000</v>
      </c>
      <c r="G106" s="29">
        <f>C106</f>
        <v>5500000</v>
      </c>
      <c r="H106" s="26">
        <f t="shared" si="31"/>
        <v>27500000</v>
      </c>
      <c r="J106" s="102" t="s">
        <v>199</v>
      </c>
    </row>
    <row r="107" spans="1:14" ht="23">
      <c r="A107" s="14">
        <v>3.4</v>
      </c>
      <c r="B107" s="8" t="s">
        <v>71</v>
      </c>
      <c r="C107" s="29" t="s">
        <v>136</v>
      </c>
      <c r="D107" s="29" t="s">
        <v>136</v>
      </c>
      <c r="E107" s="29" t="s">
        <v>136</v>
      </c>
      <c r="F107" s="29" t="s">
        <v>136</v>
      </c>
      <c r="G107" s="29" t="s">
        <v>136</v>
      </c>
      <c r="H107" s="26">
        <f t="shared" si="31"/>
        <v>0</v>
      </c>
      <c r="I107" s="100"/>
    </row>
    <row r="108" spans="1:14" s="21" customFormat="1">
      <c r="A108" s="17">
        <v>4</v>
      </c>
      <c r="B108" s="6" t="s">
        <v>72</v>
      </c>
      <c r="C108" s="32">
        <f>SUM(C109:C111)</f>
        <v>50000</v>
      </c>
      <c r="D108" s="32">
        <f>SUM(D109:D111)</f>
        <v>50000</v>
      </c>
      <c r="E108" s="32">
        <f>SUM(E109:E111)</f>
        <v>50000</v>
      </c>
      <c r="F108" s="32">
        <f>SUM(F109:F111)</f>
        <v>50000</v>
      </c>
      <c r="G108" s="32">
        <f>SUM(G109:G111)</f>
        <v>50000</v>
      </c>
      <c r="H108" s="32">
        <f t="shared" si="31"/>
        <v>250000</v>
      </c>
      <c r="I108" s="100"/>
      <c r="J108" s="61"/>
    </row>
    <row r="109" spans="1:14" ht="23">
      <c r="A109" s="15">
        <v>4.0999999999999996</v>
      </c>
      <c r="B109" s="8" t="s">
        <v>73</v>
      </c>
      <c r="C109" s="29" t="s">
        <v>136</v>
      </c>
      <c r="D109" s="29" t="s">
        <v>136</v>
      </c>
      <c r="E109" s="29" t="s">
        <v>136</v>
      </c>
      <c r="F109" s="29" t="s">
        <v>136</v>
      </c>
      <c r="G109" s="29" t="s">
        <v>136</v>
      </c>
      <c r="H109" s="26">
        <f t="shared" si="31"/>
        <v>0</v>
      </c>
      <c r="N109">
        <f>50/120*100</f>
        <v>41.666666666666671</v>
      </c>
    </row>
    <row r="110" spans="1:14" ht="23">
      <c r="A110" s="15">
        <v>4.3</v>
      </c>
      <c r="B110" s="8" t="s">
        <v>74</v>
      </c>
      <c r="C110" s="29" t="s">
        <v>136</v>
      </c>
      <c r="D110" s="29" t="s">
        <v>136</v>
      </c>
      <c r="E110" s="29" t="s">
        <v>136</v>
      </c>
      <c r="F110" s="29" t="s">
        <v>136</v>
      </c>
      <c r="G110" s="29" t="s">
        <v>136</v>
      </c>
      <c r="H110" s="26">
        <f t="shared" si="31"/>
        <v>0</v>
      </c>
    </row>
    <row r="111" spans="1:14">
      <c r="A111" s="15">
        <v>4.2</v>
      </c>
      <c r="B111" s="8" t="s">
        <v>75</v>
      </c>
      <c r="C111" s="27">
        <v>50000</v>
      </c>
      <c r="D111" s="27">
        <f>C111</f>
        <v>50000</v>
      </c>
      <c r="E111" s="27">
        <f>C111</f>
        <v>50000</v>
      </c>
      <c r="F111" s="27">
        <f>C111</f>
        <v>50000</v>
      </c>
      <c r="G111" s="27">
        <f>C111</f>
        <v>50000</v>
      </c>
      <c r="H111" s="26">
        <f t="shared" si="31"/>
        <v>250000</v>
      </c>
      <c r="I111" s="95" t="s">
        <v>134</v>
      </c>
      <c r="J111" s="61" t="s">
        <v>250</v>
      </c>
      <c r="K111" t="s">
        <v>258</v>
      </c>
    </row>
    <row r="112" spans="1:14" s="1" customFormat="1">
      <c r="A112" s="9" t="s">
        <v>76</v>
      </c>
      <c r="B112" s="9"/>
      <c r="C112" s="31">
        <f>C113+C118+C124+C128+C132</f>
        <v>260000</v>
      </c>
      <c r="D112" s="31">
        <f>D113+D118+D124+D128+D132</f>
        <v>520000</v>
      </c>
      <c r="E112" s="31">
        <f>E113+E118+E124+E128+E132</f>
        <v>55590000</v>
      </c>
      <c r="F112" s="31">
        <f>F113+F118+F124+F128+F132</f>
        <v>5280000</v>
      </c>
      <c r="G112" s="31">
        <f>G113+G118+G124+G128+G132</f>
        <v>5280000</v>
      </c>
      <c r="H112" s="31">
        <f t="shared" si="31"/>
        <v>66930000</v>
      </c>
      <c r="I112" s="97"/>
    </row>
    <row r="113" spans="1:10" s="21" customFormat="1">
      <c r="A113" s="17">
        <v>1</v>
      </c>
      <c r="B113" s="6" t="s">
        <v>77</v>
      </c>
      <c r="C113" s="32">
        <f>SUM(C114:C117)</f>
        <v>50000</v>
      </c>
      <c r="D113" s="32">
        <f>SUM(D114:D117)</f>
        <v>0</v>
      </c>
      <c r="E113" s="32">
        <f>SUM(E114:E117)</f>
        <v>50000000</v>
      </c>
      <c r="F113" s="32">
        <f>SUM(F114:F117)</f>
        <v>0</v>
      </c>
      <c r="G113" s="32">
        <f>SUM(G114:G117)</f>
        <v>0</v>
      </c>
      <c r="H113" s="32">
        <f t="shared" si="31"/>
        <v>50050000</v>
      </c>
      <c r="I113" s="100"/>
      <c r="J113" s="61"/>
    </row>
    <row r="114" spans="1:10">
      <c r="A114" s="15">
        <v>1.1000000000000001</v>
      </c>
      <c r="B114" s="7" t="s">
        <v>78</v>
      </c>
      <c r="C114" s="27">
        <v>25000</v>
      </c>
      <c r="D114" s="27"/>
      <c r="E114" s="27"/>
      <c r="F114" s="27"/>
      <c r="G114" s="27"/>
      <c r="H114" s="26">
        <f t="shared" si="31"/>
        <v>25000</v>
      </c>
      <c r="J114" s="61" t="s">
        <v>200</v>
      </c>
    </row>
    <row r="115" spans="1:10">
      <c r="A115" s="15">
        <v>1.2</v>
      </c>
      <c r="B115" s="7" t="s">
        <v>79</v>
      </c>
      <c r="C115" s="27">
        <v>25000</v>
      </c>
      <c r="D115" s="27"/>
      <c r="E115" s="27"/>
      <c r="F115" s="27"/>
      <c r="G115" s="27"/>
      <c r="H115" s="26">
        <f t="shared" si="31"/>
        <v>25000</v>
      </c>
      <c r="J115" s="61" t="s">
        <v>200</v>
      </c>
    </row>
    <row r="116" spans="1:10" ht="23">
      <c r="A116" s="15">
        <v>1.3</v>
      </c>
      <c r="B116" s="8" t="s">
        <v>80</v>
      </c>
      <c r="C116" s="27"/>
      <c r="D116" s="27"/>
      <c r="E116" s="46">
        <v>50000000</v>
      </c>
      <c r="F116" s="27"/>
      <c r="G116" s="27"/>
      <c r="H116" s="26">
        <f t="shared" si="31"/>
        <v>50000000</v>
      </c>
      <c r="J116" s="61" t="s">
        <v>200</v>
      </c>
    </row>
    <row r="117" spans="1:10">
      <c r="A117" s="15">
        <v>1.4</v>
      </c>
      <c r="B117" s="8" t="s">
        <v>81</v>
      </c>
      <c r="C117" s="29" t="s">
        <v>136</v>
      </c>
      <c r="D117" s="29" t="s">
        <v>136</v>
      </c>
      <c r="E117" s="29" t="s">
        <v>136</v>
      </c>
      <c r="F117" s="29" t="s">
        <v>136</v>
      </c>
      <c r="G117" s="29" t="s">
        <v>136</v>
      </c>
      <c r="H117" s="26">
        <f t="shared" si="31"/>
        <v>0</v>
      </c>
    </row>
    <row r="118" spans="1:10" s="21" customFormat="1">
      <c r="A118" s="17">
        <v>2</v>
      </c>
      <c r="B118" s="6" t="s">
        <v>82</v>
      </c>
      <c r="C118" s="32">
        <f>200000*0.6</f>
        <v>120000</v>
      </c>
      <c r="D118" s="32">
        <f>200000*0.4</f>
        <v>80000</v>
      </c>
      <c r="E118" s="32">
        <v>5000000</v>
      </c>
      <c r="F118" s="32">
        <v>5000000</v>
      </c>
      <c r="G118" s="32">
        <v>5000000</v>
      </c>
      <c r="H118" s="32">
        <f t="shared" si="31"/>
        <v>15200000</v>
      </c>
      <c r="I118" s="95"/>
      <c r="J118" s="61" t="s">
        <v>199</v>
      </c>
    </row>
    <row r="119" spans="1:10">
      <c r="A119" s="15">
        <v>2.1</v>
      </c>
      <c r="B119" s="8" t="s">
        <v>83</v>
      </c>
      <c r="C119" s="27"/>
      <c r="D119" s="27"/>
      <c r="E119" s="27"/>
      <c r="F119" s="27"/>
      <c r="G119" s="27"/>
      <c r="H119" s="26">
        <f t="shared" si="31"/>
        <v>0</v>
      </c>
    </row>
    <row r="120" spans="1:10" ht="23">
      <c r="A120" s="15">
        <v>2.2000000000000002</v>
      </c>
      <c r="B120" s="8" t="s">
        <v>84</v>
      </c>
      <c r="C120" s="29"/>
      <c r="D120" s="29"/>
      <c r="E120" s="29"/>
      <c r="F120" s="29"/>
      <c r="G120" s="29"/>
      <c r="H120" s="26">
        <f t="shared" si="31"/>
        <v>0</v>
      </c>
    </row>
    <row r="121" spans="1:10" ht="23">
      <c r="A121" s="15">
        <v>2.2999999999999998</v>
      </c>
      <c r="B121" s="8" t="s">
        <v>85</v>
      </c>
      <c r="C121" s="27"/>
      <c r="D121" s="27"/>
      <c r="F121" s="27"/>
      <c r="G121" s="27"/>
      <c r="H121" s="26"/>
    </row>
    <row r="122" spans="1:10">
      <c r="A122" s="15">
        <v>2.4</v>
      </c>
      <c r="B122" s="8" t="s">
        <v>86</v>
      </c>
      <c r="C122" s="27"/>
      <c r="D122" s="27"/>
      <c r="E122" s="27"/>
      <c r="F122" s="27"/>
      <c r="G122" s="27"/>
      <c r="H122" s="26">
        <f t="shared" si="31"/>
        <v>0</v>
      </c>
    </row>
    <row r="123" spans="1:10">
      <c r="A123" s="15">
        <v>2.5</v>
      </c>
      <c r="B123" s="8" t="s">
        <v>87</v>
      </c>
      <c r="C123" s="27"/>
      <c r="D123" s="27"/>
      <c r="E123" s="27"/>
      <c r="F123" s="27"/>
      <c r="G123" s="27"/>
      <c r="H123" s="26">
        <f t="shared" si="31"/>
        <v>0</v>
      </c>
    </row>
    <row r="124" spans="1:10" s="21" customFormat="1">
      <c r="A124" s="17">
        <v>3</v>
      </c>
      <c r="B124" s="6" t="s">
        <v>88</v>
      </c>
      <c r="C124" s="32">
        <f>SUM(C125:C127)</f>
        <v>0</v>
      </c>
      <c r="D124" s="32">
        <f>SUM(D125:D127)</f>
        <v>0</v>
      </c>
      <c r="E124" s="32">
        <f>SUM(E125:E127)</f>
        <v>60000</v>
      </c>
      <c r="F124" s="32">
        <f>SUM(F125:F127)</f>
        <v>50000</v>
      </c>
      <c r="G124" s="32">
        <f>SUM(G125:G127)</f>
        <v>50000</v>
      </c>
      <c r="H124" s="32">
        <f t="shared" si="31"/>
        <v>160000</v>
      </c>
      <c r="I124" s="100"/>
      <c r="J124" s="61"/>
    </row>
    <row r="125" spans="1:10">
      <c r="A125" s="15">
        <v>3.1</v>
      </c>
      <c r="B125" s="7" t="s">
        <v>89</v>
      </c>
      <c r="C125" s="27"/>
      <c r="D125" s="27"/>
      <c r="E125" s="27">
        <v>30000</v>
      </c>
      <c r="F125" s="27"/>
      <c r="G125" s="27"/>
      <c r="H125" s="26">
        <f t="shared" si="31"/>
        <v>30000</v>
      </c>
      <c r="I125" s="95" t="s">
        <v>134</v>
      </c>
      <c r="J125" s="61" t="s">
        <v>201</v>
      </c>
    </row>
    <row r="126" spans="1:10">
      <c r="A126" s="15">
        <v>3.2</v>
      </c>
      <c r="B126" s="7" t="s">
        <v>90</v>
      </c>
      <c r="C126" s="27"/>
      <c r="D126" s="27"/>
      <c r="E126" s="27">
        <v>30000</v>
      </c>
      <c r="F126" s="27"/>
      <c r="G126" s="27"/>
      <c r="H126" s="26">
        <f t="shared" si="31"/>
        <v>30000</v>
      </c>
      <c r="I126" s="95" t="s">
        <v>134</v>
      </c>
      <c r="J126" s="61" t="s">
        <v>201</v>
      </c>
    </row>
    <row r="127" spans="1:10">
      <c r="A127" s="15">
        <v>3.3</v>
      </c>
      <c r="B127" s="7" t="s">
        <v>91</v>
      </c>
      <c r="C127" s="29"/>
      <c r="D127" s="29"/>
      <c r="E127" s="29"/>
      <c r="F127" s="29">
        <v>50000</v>
      </c>
      <c r="G127" s="29">
        <v>50000</v>
      </c>
      <c r="H127" s="26">
        <f t="shared" si="31"/>
        <v>100000</v>
      </c>
      <c r="J127" s="61" t="s">
        <v>201</v>
      </c>
    </row>
    <row r="128" spans="1:10" s="21" customFormat="1">
      <c r="A128" s="17">
        <v>4</v>
      </c>
      <c r="B128" s="6" t="s">
        <v>92</v>
      </c>
      <c r="C128" s="32">
        <f>SUM(C129:C131)</f>
        <v>60000</v>
      </c>
      <c r="D128" s="32">
        <f>SUM(D129:D131)</f>
        <v>80000</v>
      </c>
      <c r="E128" s="32">
        <f>SUM(E129:E131)</f>
        <v>50000</v>
      </c>
      <c r="F128" s="32">
        <f>SUM(F129:F131)</f>
        <v>50000</v>
      </c>
      <c r="G128" s="32">
        <f>SUM(G129:G131)</f>
        <v>50000</v>
      </c>
      <c r="H128" s="32">
        <f t="shared" si="31"/>
        <v>290000</v>
      </c>
      <c r="I128" s="100"/>
      <c r="J128" s="61"/>
    </row>
    <row r="129" spans="1:10">
      <c r="A129" s="15">
        <v>4.0999999999999996</v>
      </c>
      <c r="B129" s="7" t="s">
        <v>93</v>
      </c>
      <c r="C129" s="27">
        <v>30000</v>
      </c>
      <c r="D129" s="27"/>
      <c r="E129" s="27"/>
      <c r="F129" s="27"/>
      <c r="G129" s="27"/>
      <c r="H129" s="26">
        <f t="shared" si="31"/>
        <v>30000</v>
      </c>
      <c r="J129" s="61" t="s">
        <v>201</v>
      </c>
    </row>
    <row r="130" spans="1:10">
      <c r="A130" s="15">
        <v>4.2</v>
      </c>
      <c r="B130" s="7" t="s">
        <v>94</v>
      </c>
      <c r="C130" s="27">
        <v>30000</v>
      </c>
      <c r="D130" s="27">
        <v>30000</v>
      </c>
      <c r="E130" s="27"/>
      <c r="F130" s="27"/>
      <c r="G130" s="27"/>
      <c r="H130" s="26">
        <f t="shared" si="31"/>
        <v>60000</v>
      </c>
      <c r="J130" s="61" t="s">
        <v>201</v>
      </c>
    </row>
    <row r="131" spans="1:10">
      <c r="A131" s="15">
        <v>4.3</v>
      </c>
      <c r="B131" s="7" t="s">
        <v>95</v>
      </c>
      <c r="C131" s="27"/>
      <c r="D131" s="27">
        <v>50000</v>
      </c>
      <c r="E131" s="27">
        <f>D131</f>
        <v>50000</v>
      </c>
      <c r="F131" s="27">
        <f>E131</f>
        <v>50000</v>
      </c>
      <c r="G131" s="27">
        <f>F131</f>
        <v>50000</v>
      </c>
      <c r="H131" s="26">
        <f t="shared" si="31"/>
        <v>200000</v>
      </c>
      <c r="J131" s="61" t="s">
        <v>250</v>
      </c>
    </row>
    <row r="132" spans="1:10" s="21" customFormat="1">
      <c r="A132" s="17">
        <v>5</v>
      </c>
      <c r="B132" s="6" t="s">
        <v>96</v>
      </c>
      <c r="C132" s="32">
        <f>SUM(C133:C137)</f>
        <v>30000</v>
      </c>
      <c r="D132" s="32">
        <f>SUM(D133:D137)</f>
        <v>360000</v>
      </c>
      <c r="E132" s="32">
        <f>SUM(E133:E137)</f>
        <v>480000</v>
      </c>
      <c r="F132" s="32">
        <f>SUM(F133:F137)</f>
        <v>180000</v>
      </c>
      <c r="G132" s="32">
        <f>SUM(G133:G137)</f>
        <v>180000</v>
      </c>
      <c r="H132" s="32">
        <f t="shared" si="31"/>
        <v>1230000</v>
      </c>
      <c r="I132" s="100"/>
      <c r="J132" s="61"/>
    </row>
    <row r="133" spans="1:10">
      <c r="A133" s="18">
        <v>5.0999999999999996</v>
      </c>
      <c r="B133" s="11" t="s">
        <v>97</v>
      </c>
      <c r="C133" s="29">
        <f>6*5000</f>
        <v>30000</v>
      </c>
      <c r="D133" s="29"/>
      <c r="E133" s="29"/>
      <c r="F133" s="29"/>
      <c r="G133" s="29"/>
      <c r="H133" s="26">
        <f t="shared" si="31"/>
        <v>30000</v>
      </c>
      <c r="I133" s="107"/>
      <c r="J133" s="61" t="s">
        <v>201</v>
      </c>
    </row>
    <row r="134" spans="1:10">
      <c r="A134" s="18">
        <v>5.2</v>
      </c>
      <c r="B134" s="11" t="s">
        <v>98</v>
      </c>
      <c r="C134" s="27"/>
      <c r="D134" s="27">
        <v>30000</v>
      </c>
      <c r="E134" s="27"/>
      <c r="F134" s="27"/>
      <c r="G134" s="27"/>
      <c r="H134" s="26">
        <f t="shared" si="31"/>
        <v>30000</v>
      </c>
      <c r="J134" s="61" t="s">
        <v>201</v>
      </c>
    </row>
    <row r="135" spans="1:10">
      <c r="A135" s="18">
        <v>5.3</v>
      </c>
      <c r="B135" s="11" t="s">
        <v>99</v>
      </c>
      <c r="C135" s="27"/>
      <c r="D135" s="27"/>
      <c r="E135" s="27">
        <f>25000*6</f>
        <v>150000</v>
      </c>
      <c r="F135" s="27">
        <f>E135</f>
        <v>150000</v>
      </c>
      <c r="G135" s="27">
        <f>F135</f>
        <v>150000</v>
      </c>
      <c r="H135" s="26">
        <f t="shared" si="31"/>
        <v>450000</v>
      </c>
      <c r="J135" s="61" t="s">
        <v>199</v>
      </c>
    </row>
    <row r="136" spans="1:10">
      <c r="A136" s="18">
        <v>5.4</v>
      </c>
      <c r="B136" s="11" t="s">
        <v>100</v>
      </c>
      <c r="C136" s="27"/>
      <c r="D136" s="27">
        <v>300000</v>
      </c>
      <c r="E136" s="27">
        <v>300000</v>
      </c>
      <c r="F136" s="27"/>
      <c r="G136" s="27"/>
      <c r="H136" s="26">
        <f t="shared" si="31"/>
        <v>600000</v>
      </c>
      <c r="J136" s="61" t="s">
        <v>199</v>
      </c>
    </row>
    <row r="137" spans="1:10">
      <c r="A137" s="15">
        <v>5.5</v>
      </c>
      <c r="B137" s="7" t="s">
        <v>101</v>
      </c>
      <c r="C137" s="27"/>
      <c r="D137" s="27">
        <v>30000</v>
      </c>
      <c r="E137" s="27">
        <f>D137</f>
        <v>30000</v>
      </c>
      <c r="F137" s="27">
        <f>E137</f>
        <v>30000</v>
      </c>
      <c r="G137" s="27">
        <f>F137</f>
        <v>30000</v>
      </c>
      <c r="H137" s="26">
        <f t="shared" si="31"/>
        <v>120000</v>
      </c>
      <c r="J137" s="61" t="s">
        <v>199</v>
      </c>
    </row>
    <row r="138" spans="1:10" s="1" customFormat="1">
      <c r="A138" s="9" t="s">
        <v>102</v>
      </c>
      <c r="B138" s="9"/>
      <c r="C138" s="31">
        <f>C139+C142+C154</f>
        <v>120000</v>
      </c>
      <c r="D138" s="31">
        <f>D139+D142+D154</f>
        <v>100000</v>
      </c>
      <c r="E138" s="31">
        <f>E139+E142+E154</f>
        <v>235000</v>
      </c>
      <c r="F138" s="31">
        <f>F139+F142+F154</f>
        <v>140000</v>
      </c>
      <c r="G138" s="31">
        <f>G139+G142+G154</f>
        <v>150000</v>
      </c>
      <c r="H138" s="31">
        <f t="shared" si="31"/>
        <v>745000</v>
      </c>
      <c r="I138" s="97"/>
    </row>
    <row r="139" spans="1:10" s="21" customFormat="1">
      <c r="A139" s="17">
        <v>1</v>
      </c>
      <c r="B139" s="6" t="s">
        <v>103</v>
      </c>
      <c r="C139" s="32">
        <f>SUM(C140:C141)</f>
        <v>50000</v>
      </c>
      <c r="D139" s="32">
        <f>SUM(D140:D141)</f>
        <v>50000</v>
      </c>
      <c r="E139" s="32">
        <f>SUM(E140:E141)</f>
        <v>40000</v>
      </c>
      <c r="F139" s="32">
        <f>SUM(F140:F141)</f>
        <v>40000</v>
      </c>
      <c r="G139" s="32">
        <f>SUM(G140:G141)</f>
        <v>40000</v>
      </c>
      <c r="H139" s="32">
        <f t="shared" si="31"/>
        <v>220000</v>
      </c>
      <c r="I139" s="100"/>
      <c r="J139" s="61"/>
    </row>
    <row r="140" spans="1:10">
      <c r="A140" s="15">
        <v>1.1000000000000001</v>
      </c>
      <c r="B140" s="7" t="s">
        <v>104</v>
      </c>
      <c r="C140" s="29">
        <v>50000</v>
      </c>
      <c r="D140" s="29">
        <v>50000</v>
      </c>
      <c r="E140" s="29"/>
      <c r="F140" s="29"/>
      <c r="G140" s="29"/>
      <c r="H140" s="26">
        <f t="shared" si="31"/>
        <v>100000</v>
      </c>
      <c r="J140" s="61" t="s">
        <v>250</v>
      </c>
    </row>
    <row r="141" spans="1:10">
      <c r="A141" s="15">
        <v>1.2</v>
      </c>
      <c r="B141" s="7" t="s">
        <v>105</v>
      </c>
      <c r="C141" s="27"/>
      <c r="D141" s="27"/>
      <c r="E141" s="27">
        <v>40000</v>
      </c>
      <c r="F141" s="27">
        <v>40000</v>
      </c>
      <c r="G141" s="27">
        <v>40000</v>
      </c>
      <c r="H141" s="26">
        <f t="shared" si="31"/>
        <v>120000</v>
      </c>
      <c r="J141" s="61" t="s">
        <v>201</v>
      </c>
    </row>
    <row r="142" spans="1:10" s="21" customFormat="1">
      <c r="A142" s="17">
        <v>2</v>
      </c>
      <c r="B142" s="6" t="s">
        <v>106</v>
      </c>
      <c r="C142" s="32">
        <f>SUM(C143:C153)</f>
        <v>40000</v>
      </c>
      <c r="D142" s="32">
        <f>SUM(D143:D153)</f>
        <v>0</v>
      </c>
      <c r="E142" s="32">
        <f>SUM(E143:E153)</f>
        <v>145000</v>
      </c>
      <c r="F142" s="32">
        <f>SUM(F143:F153)</f>
        <v>25000</v>
      </c>
      <c r="G142" s="32">
        <f>SUM(G143:G153)</f>
        <v>60000</v>
      </c>
      <c r="H142" s="32">
        <f t="shared" si="31"/>
        <v>270000</v>
      </c>
      <c r="I142" s="100"/>
      <c r="J142" s="61"/>
    </row>
    <row r="143" spans="1:10">
      <c r="A143" s="15">
        <v>2.1</v>
      </c>
      <c r="B143" s="7" t="s">
        <v>107</v>
      </c>
      <c r="C143" s="29"/>
      <c r="D143" s="29"/>
      <c r="E143" s="29"/>
      <c r="F143" s="29"/>
      <c r="G143" s="29"/>
      <c r="H143" s="26">
        <f t="shared" si="31"/>
        <v>0</v>
      </c>
    </row>
    <row r="144" spans="1:10">
      <c r="A144" s="15" t="s">
        <v>108</v>
      </c>
      <c r="B144" s="7" t="s">
        <v>109</v>
      </c>
      <c r="C144" s="27">
        <v>20000</v>
      </c>
      <c r="D144" s="29"/>
      <c r="E144" s="29"/>
      <c r="F144" s="29"/>
      <c r="G144" s="29"/>
      <c r="H144" s="26">
        <f t="shared" si="31"/>
        <v>20000</v>
      </c>
      <c r="J144" s="61" t="s">
        <v>250</v>
      </c>
    </row>
    <row r="145" spans="1:10">
      <c r="A145" s="15" t="s">
        <v>110</v>
      </c>
      <c r="B145" s="7" t="s">
        <v>111</v>
      </c>
      <c r="C145" s="27"/>
      <c r="D145" s="27"/>
      <c r="E145" s="27">
        <v>25000</v>
      </c>
      <c r="F145" s="27">
        <v>25000</v>
      </c>
      <c r="G145" s="27"/>
      <c r="H145" s="26">
        <f t="shared" si="31"/>
        <v>50000</v>
      </c>
      <c r="I145" s="107"/>
      <c r="J145" s="61" t="s">
        <v>201</v>
      </c>
    </row>
    <row r="146" spans="1:10">
      <c r="A146" s="15" t="s">
        <v>112</v>
      </c>
      <c r="B146" s="7" t="s">
        <v>113</v>
      </c>
      <c r="C146" s="27"/>
      <c r="D146" s="27"/>
      <c r="E146" s="27"/>
      <c r="F146" s="27"/>
      <c r="G146" s="27">
        <v>30000</v>
      </c>
      <c r="H146" s="26">
        <f t="shared" si="31"/>
        <v>30000</v>
      </c>
      <c r="J146" s="61" t="s">
        <v>201</v>
      </c>
    </row>
    <row r="147" spans="1:10">
      <c r="A147" s="15">
        <v>2.2000000000000002</v>
      </c>
      <c r="B147" s="7" t="s">
        <v>114</v>
      </c>
      <c r="C147" s="29"/>
      <c r="D147" s="29"/>
      <c r="E147" s="29"/>
      <c r="F147" s="29"/>
      <c r="G147" s="29"/>
      <c r="H147" s="26">
        <f t="shared" si="31"/>
        <v>0</v>
      </c>
    </row>
    <row r="148" spans="1:10">
      <c r="A148" s="15" t="s">
        <v>115</v>
      </c>
      <c r="B148" s="7" t="s">
        <v>116</v>
      </c>
      <c r="C148" s="27"/>
      <c r="D148" s="27"/>
      <c r="E148" s="27">
        <v>80000</v>
      </c>
      <c r="F148" s="27"/>
      <c r="G148" s="27"/>
      <c r="H148" s="26">
        <f t="shared" si="31"/>
        <v>80000</v>
      </c>
      <c r="J148" s="61" t="s">
        <v>201</v>
      </c>
    </row>
    <row r="149" spans="1:10">
      <c r="A149" s="15" t="s">
        <v>117</v>
      </c>
      <c r="B149" s="7" t="s">
        <v>118</v>
      </c>
      <c r="C149" s="29"/>
      <c r="D149" s="29"/>
      <c r="E149" s="29">
        <v>20000</v>
      </c>
      <c r="F149" s="29"/>
      <c r="G149" s="29"/>
      <c r="H149" s="26">
        <f t="shared" si="31"/>
        <v>20000</v>
      </c>
      <c r="J149" s="61" t="s">
        <v>250</v>
      </c>
    </row>
    <row r="150" spans="1:10">
      <c r="A150" s="15" t="s">
        <v>119</v>
      </c>
      <c r="B150" s="7" t="s">
        <v>120</v>
      </c>
      <c r="C150" s="27"/>
      <c r="D150" s="27"/>
      <c r="E150" s="27"/>
      <c r="F150" s="27"/>
      <c r="G150" s="27">
        <v>30000</v>
      </c>
      <c r="H150" s="26">
        <f t="shared" si="31"/>
        <v>30000</v>
      </c>
      <c r="J150" s="61" t="s">
        <v>201</v>
      </c>
    </row>
    <row r="151" spans="1:10">
      <c r="A151" s="15">
        <v>2.2999999999999998</v>
      </c>
      <c r="B151" s="7" t="s">
        <v>121</v>
      </c>
      <c r="C151" s="29"/>
      <c r="D151" s="29"/>
      <c r="E151" s="29"/>
      <c r="F151" s="29"/>
      <c r="G151" s="29"/>
      <c r="H151" s="26">
        <f t="shared" si="31"/>
        <v>0</v>
      </c>
    </row>
    <row r="152" spans="1:10">
      <c r="A152" s="15" t="s">
        <v>122</v>
      </c>
      <c r="B152" s="7" t="s">
        <v>123</v>
      </c>
      <c r="C152" s="29">
        <v>20000</v>
      </c>
      <c r="D152" s="29"/>
      <c r="E152" s="29"/>
      <c r="F152" s="29"/>
      <c r="G152" s="29"/>
      <c r="H152" s="26">
        <f t="shared" si="31"/>
        <v>20000</v>
      </c>
      <c r="J152" s="61" t="s">
        <v>250</v>
      </c>
    </row>
    <row r="153" spans="1:10">
      <c r="A153" s="15" t="s">
        <v>124</v>
      </c>
      <c r="B153" s="7" t="s">
        <v>125</v>
      </c>
      <c r="C153" s="27"/>
      <c r="D153" s="27"/>
      <c r="E153" s="27">
        <v>20000</v>
      </c>
      <c r="F153" s="27"/>
      <c r="G153" s="27"/>
      <c r="H153" s="26">
        <f t="shared" si="31"/>
        <v>20000</v>
      </c>
      <c r="J153" s="61" t="s">
        <v>201</v>
      </c>
    </row>
    <row r="154" spans="1:10" s="21" customFormat="1">
      <c r="A154" s="17">
        <v>3</v>
      </c>
      <c r="B154" s="6" t="s">
        <v>126</v>
      </c>
      <c r="C154" s="32">
        <f>SUM(C155:C158)</f>
        <v>30000</v>
      </c>
      <c r="D154" s="32">
        <f>SUM(D155:D158)</f>
        <v>50000</v>
      </c>
      <c r="E154" s="32">
        <f>SUM(E155:E158)</f>
        <v>50000</v>
      </c>
      <c r="F154" s="32">
        <f>SUM(F155:F158)</f>
        <v>75000</v>
      </c>
      <c r="G154" s="32">
        <f>SUM(G155:G158)</f>
        <v>50000</v>
      </c>
      <c r="H154" s="32">
        <f t="shared" si="31"/>
        <v>255000</v>
      </c>
      <c r="I154" s="100"/>
      <c r="J154" s="61"/>
    </row>
    <row r="155" spans="1:10">
      <c r="A155" s="15">
        <v>3.1</v>
      </c>
      <c r="B155" s="7" t="s">
        <v>127</v>
      </c>
      <c r="C155" s="27"/>
      <c r="D155" s="27"/>
      <c r="E155" s="27"/>
      <c r="F155" s="27"/>
      <c r="G155" s="27"/>
      <c r="H155" s="26">
        <f t="shared" si="31"/>
        <v>0</v>
      </c>
    </row>
    <row r="156" spans="1:10">
      <c r="A156" s="15" t="s">
        <v>128</v>
      </c>
      <c r="B156" s="7" t="s">
        <v>129</v>
      </c>
      <c r="C156" s="27">
        <v>30000</v>
      </c>
      <c r="D156" s="27"/>
      <c r="E156" s="27"/>
      <c r="F156" s="27"/>
      <c r="G156" s="27"/>
      <c r="H156" s="26">
        <f t="shared" si="31"/>
        <v>30000</v>
      </c>
      <c r="J156" s="61" t="s">
        <v>201</v>
      </c>
    </row>
    <row r="157" spans="1:10">
      <c r="A157" s="15" t="s">
        <v>130</v>
      </c>
      <c r="B157" s="7" t="s">
        <v>131</v>
      </c>
      <c r="C157" s="27"/>
      <c r="D157" s="27">
        <v>50000</v>
      </c>
      <c r="E157" s="27">
        <f>D157</f>
        <v>50000</v>
      </c>
      <c r="F157" s="27">
        <f>E157</f>
        <v>50000</v>
      </c>
      <c r="G157" s="27">
        <f>F157</f>
        <v>50000</v>
      </c>
      <c r="H157" s="26">
        <f t="shared" si="31"/>
        <v>200000</v>
      </c>
      <c r="J157" s="61" t="s">
        <v>201</v>
      </c>
    </row>
    <row r="158" spans="1:10">
      <c r="A158" s="15" t="s">
        <v>132</v>
      </c>
      <c r="B158" s="7" t="s">
        <v>133</v>
      </c>
      <c r="C158" s="27"/>
      <c r="D158" s="27"/>
      <c r="E158" s="27"/>
      <c r="F158" s="27">
        <v>25000</v>
      </c>
      <c r="G158" s="27"/>
      <c r="H158" s="26">
        <f t="shared" si="31"/>
        <v>25000</v>
      </c>
      <c r="J158" s="61" t="s">
        <v>201</v>
      </c>
    </row>
    <row r="159" spans="1:10" s="1" customFormat="1">
      <c r="A159" s="9" t="s">
        <v>208</v>
      </c>
      <c r="B159" s="9"/>
      <c r="C159" s="31">
        <f t="shared" ref="C159:H159" si="32">C41+C67+C87+C112+C138</f>
        <v>35845900</v>
      </c>
      <c r="D159" s="31">
        <f t="shared" si="32"/>
        <v>35354400</v>
      </c>
      <c r="E159" s="31">
        <f t="shared" si="32"/>
        <v>88958995</v>
      </c>
      <c r="F159" s="31">
        <f t="shared" si="32"/>
        <v>38599404.75</v>
      </c>
      <c r="G159" s="31">
        <f t="shared" si="32"/>
        <v>37968549.987499997</v>
      </c>
      <c r="H159" s="31">
        <f t="shared" si="32"/>
        <v>236727249.73750001</v>
      </c>
      <c r="I159" s="97"/>
    </row>
  </sheetData>
  <pageMargins left="0.5" right="0.5" top="0.5" bottom="0.5" header="0.3" footer="0.3"/>
  <pageSetup scale="72" fitToHeight="4" orientation="landscape" r:id="rId1"/>
  <rowBreaks count="1" manualBreakCount="1">
    <brk id="3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F12" sqref="F12"/>
    </sheetView>
  </sheetViews>
  <sheetFormatPr defaultRowHeight="14.5"/>
  <cols>
    <col min="1" max="1" width="38.81640625" bestFit="1" customWidth="1"/>
    <col min="2" max="2" width="18.7265625" customWidth="1"/>
  </cols>
  <sheetData>
    <row r="1" spans="1:9" s="1" customFormat="1" ht="21">
      <c r="A1" s="35" t="s">
        <v>155</v>
      </c>
      <c r="C1" s="23"/>
      <c r="D1" s="23"/>
      <c r="E1" s="23"/>
      <c r="F1" s="23"/>
      <c r="G1" s="23"/>
      <c r="H1" s="23"/>
      <c r="I1" s="4"/>
    </row>
    <row r="2" spans="1:9" s="4" customFormat="1" ht="11.5">
      <c r="A2" s="36"/>
      <c r="C2" s="23"/>
      <c r="D2" s="23"/>
      <c r="E2" s="23"/>
      <c r="F2" s="23"/>
      <c r="G2" s="23"/>
      <c r="H2" s="23"/>
    </row>
    <row r="3" spans="1:9" s="1" customFormat="1" ht="19" thickBot="1">
      <c r="A3" s="37" t="s">
        <v>203</v>
      </c>
      <c r="C3" s="23"/>
      <c r="D3" s="23"/>
      <c r="E3" s="23"/>
      <c r="F3" s="23"/>
      <c r="G3" s="23"/>
      <c r="H3" s="23"/>
      <c r="I3" s="4"/>
    </row>
    <row r="4" spans="1:9" s="1" customFormat="1" ht="15" thickBot="1">
      <c r="A4" s="84" t="s">
        <v>247</v>
      </c>
      <c r="B4" s="85"/>
      <c r="C4" s="85"/>
      <c r="D4" s="4"/>
      <c r="E4" s="4"/>
      <c r="F4" s="4"/>
      <c r="G4" s="4"/>
      <c r="H4" s="4"/>
      <c r="I4" s="4"/>
    </row>
    <row r="5" spans="1:9" s="1" customFormat="1">
      <c r="A5" s="80" t="s">
        <v>171</v>
      </c>
      <c r="B5" s="81" t="s">
        <v>135</v>
      </c>
      <c r="C5" s="93" t="s">
        <v>243</v>
      </c>
      <c r="D5" s="4"/>
      <c r="E5" s="4"/>
      <c r="F5" s="4"/>
      <c r="G5" s="4"/>
      <c r="H5" s="4"/>
      <c r="I5" s="4"/>
    </row>
    <row r="6" spans="1:9">
      <c r="A6" s="82" t="str">
        <f>'Main Budget'!A5</f>
        <v>A. Institutional Coordination and MRV</v>
      </c>
      <c r="B6" s="88">
        <f>'Main Budget'!H5</f>
        <v>14025849.737500001</v>
      </c>
      <c r="C6" s="91">
        <f>B6/$B$11</f>
        <v>5.9248986979964745E-2</v>
      </c>
    </row>
    <row r="7" spans="1:9">
      <c r="A7" s="82" t="str">
        <f>'Main Budget'!A13</f>
        <v>B. Landscape Planning within HIA areas</v>
      </c>
      <c r="B7" s="88">
        <f>'Main Budget'!H13</f>
        <v>6946400</v>
      </c>
      <c r="C7" s="91">
        <f>B7/$B$11</f>
        <v>2.9343474431873229E-2</v>
      </c>
    </row>
    <row r="8" spans="1:9">
      <c r="A8" s="82" t="str">
        <f>'Main Budget'!A18</f>
        <v>C. Increasing Yields via CSC</v>
      </c>
      <c r="B8" s="88">
        <f>'Main Budget'!H18</f>
        <v>148080000</v>
      </c>
      <c r="C8" s="91">
        <f>B8/$B$11</f>
        <v>0.6255300146654077</v>
      </c>
    </row>
    <row r="9" spans="1:9">
      <c r="A9" s="87" t="str">
        <f>'Main Budget'!A25</f>
        <v>D. Risk management/finance</v>
      </c>
      <c r="B9" s="89">
        <f>'Main Budget'!H25</f>
        <v>66930000</v>
      </c>
      <c r="C9" s="91">
        <f>B9/$B$11</f>
        <v>0.28273044220391502</v>
      </c>
    </row>
    <row r="10" spans="1:9">
      <c r="A10" s="87" t="str">
        <f>'Main Budget'!A31</f>
        <v>E. Legislative and Policy Reform</v>
      </c>
      <c r="B10" s="89">
        <f>'Main Budget'!H31</f>
        <v>745000</v>
      </c>
      <c r="C10" s="91">
        <f>B10/$B$11</f>
        <v>3.1470817188393348E-3</v>
      </c>
    </row>
    <row r="11" spans="1:9" s="21" customFormat="1" ht="15" thickBot="1">
      <c r="A11" s="83" t="s">
        <v>154</v>
      </c>
      <c r="B11" s="90">
        <f>SUM(B6:B10)</f>
        <v>236727249.73750001</v>
      </c>
      <c r="C11" s="92">
        <f>SUM(C6:C9)</f>
        <v>0.99685291828116074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tabSelected="1" topLeftCell="A2" workbookViewId="0">
      <selection activeCell="D16" sqref="D16"/>
    </sheetView>
  </sheetViews>
  <sheetFormatPr defaultRowHeight="14.5"/>
  <cols>
    <col min="1" max="1" width="38.81640625" bestFit="1" customWidth="1"/>
    <col min="2" max="2" width="16.453125" customWidth="1"/>
  </cols>
  <sheetData>
    <row r="1" spans="1:9" s="1" customFormat="1" ht="21">
      <c r="A1" s="35" t="s">
        <v>155</v>
      </c>
      <c r="C1" s="23"/>
      <c r="D1" s="23"/>
      <c r="E1" s="23"/>
      <c r="F1" s="23"/>
      <c r="G1" s="23"/>
      <c r="H1" s="23"/>
      <c r="I1" s="4"/>
    </row>
    <row r="2" spans="1:9" s="4" customFormat="1" ht="11.5">
      <c r="A2" s="36"/>
      <c r="C2" s="23"/>
      <c r="D2" s="23"/>
      <c r="E2" s="23"/>
      <c r="F2" s="23"/>
      <c r="G2" s="23"/>
      <c r="H2" s="23"/>
    </row>
    <row r="3" spans="1:9" s="1" customFormat="1" ht="19" thickBot="1">
      <c r="A3" s="37" t="s">
        <v>203</v>
      </c>
      <c r="C3" s="23"/>
      <c r="D3" s="23"/>
      <c r="E3" s="23"/>
      <c r="F3" s="23"/>
      <c r="G3" s="23"/>
      <c r="H3" s="23"/>
      <c r="I3" s="4"/>
    </row>
    <row r="4" spans="1:9" s="1" customFormat="1" ht="15" thickBot="1">
      <c r="A4" s="84" t="s">
        <v>202</v>
      </c>
      <c r="B4" s="85"/>
      <c r="C4" s="85"/>
      <c r="D4" s="4"/>
      <c r="E4" s="4"/>
      <c r="F4" s="4"/>
      <c r="G4" s="4"/>
      <c r="H4" s="4"/>
      <c r="I4" s="4"/>
    </row>
    <row r="5" spans="1:9" s="1" customFormat="1">
      <c r="A5" s="80" t="s">
        <v>204</v>
      </c>
      <c r="B5" s="81" t="s">
        <v>135</v>
      </c>
      <c r="C5" s="93" t="s">
        <v>243</v>
      </c>
      <c r="D5" s="4"/>
      <c r="E5" s="4"/>
      <c r="F5" s="4"/>
      <c r="G5" s="4"/>
      <c r="H5" s="4"/>
      <c r="I5" s="4"/>
    </row>
    <row r="6" spans="1:9">
      <c r="A6" s="82" t="s">
        <v>205</v>
      </c>
      <c r="B6" s="88">
        <f>'Main Budget'!L47</f>
        <v>49990400</v>
      </c>
      <c r="C6" s="91">
        <f>B6/$B$10</f>
        <v>0.21117298517780655</v>
      </c>
    </row>
    <row r="7" spans="1:9">
      <c r="A7" s="82" t="s">
        <v>206</v>
      </c>
      <c r="B7" s="88">
        <f>'Main Budget'!N47</f>
        <v>121360000</v>
      </c>
      <c r="C7" s="91">
        <f>B7/$B$10</f>
        <v>0.51265749986354592</v>
      </c>
    </row>
    <row r="8" spans="1:9">
      <c r="A8" s="82" t="s">
        <v>207</v>
      </c>
      <c r="B8" s="88">
        <f>'Main Budget'!O53</f>
        <v>11718800</v>
      </c>
      <c r="C8" s="91">
        <f>B8/$B$10</f>
        <v>4.9503384223804556E-2</v>
      </c>
    </row>
    <row r="9" spans="1:9">
      <c r="A9" s="87" t="s">
        <v>242</v>
      </c>
      <c r="B9" s="89">
        <f>'Main Budget'!M51</f>
        <v>53658049.737499997</v>
      </c>
      <c r="C9" s="91">
        <f>B9/$B$10</f>
        <v>0.22666613073484296</v>
      </c>
    </row>
    <row r="10" spans="1:9" s="21" customFormat="1" ht="15" thickBot="1">
      <c r="A10" s="83" t="s">
        <v>154</v>
      </c>
      <c r="B10" s="90">
        <f>SUM(B6:B9)</f>
        <v>236727249.73750001</v>
      </c>
      <c r="C10" s="92">
        <f>SUM(C6:C9)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7"/>
  <sheetViews>
    <sheetView view="pageBreakPreview" zoomScale="90" zoomScaleNormal="100" zoomScaleSheetLayoutView="90" workbookViewId="0">
      <selection activeCell="L5" sqref="L5"/>
    </sheetView>
  </sheetViews>
  <sheetFormatPr defaultRowHeight="14.5"/>
  <cols>
    <col min="1" max="1" width="26" customWidth="1"/>
    <col min="2" max="2" width="27.1796875" customWidth="1"/>
    <col min="3" max="3" width="18.26953125" bestFit="1" customWidth="1"/>
    <col min="4" max="4" width="18.7265625" customWidth="1"/>
    <col min="5" max="7" width="17.7265625" bestFit="1" customWidth="1"/>
    <col min="8" max="8" width="19" bestFit="1" customWidth="1"/>
  </cols>
  <sheetData>
    <row r="1" spans="1:8" ht="18.5">
      <c r="A1" s="86" t="s">
        <v>241</v>
      </c>
    </row>
    <row r="2" spans="1:8" ht="15" thickBot="1"/>
    <row r="3" spans="1:8" s="62" customFormat="1" ht="13.5" thickBot="1">
      <c r="A3" s="63" t="s">
        <v>216</v>
      </c>
      <c r="B3" s="63" t="s">
        <v>217</v>
      </c>
      <c r="C3" s="63" t="s">
        <v>218</v>
      </c>
      <c r="D3" s="63" t="s">
        <v>219</v>
      </c>
      <c r="E3" s="63" t="s">
        <v>220</v>
      </c>
      <c r="F3" s="63" t="s">
        <v>221</v>
      </c>
      <c r="G3" s="63" t="s">
        <v>222</v>
      </c>
      <c r="H3" s="63" t="s">
        <v>154</v>
      </c>
    </row>
    <row r="4" spans="1:8" ht="39">
      <c r="A4" s="64" t="s">
        <v>210</v>
      </c>
      <c r="B4" s="64" t="s">
        <v>223</v>
      </c>
      <c r="C4" s="70">
        <f>'Main Budget'!C6+'Main Budget'!C7</f>
        <v>1402600</v>
      </c>
      <c r="D4" s="70">
        <f>'Main Budget'!D6+'Main Budget'!D7</f>
        <v>656700</v>
      </c>
      <c r="E4" s="70">
        <f>'Main Budget'!E6+'Main Budget'!E7</f>
        <v>664995</v>
      </c>
      <c r="F4" s="70">
        <f>'Main Budget'!F6+'Main Budget'!F7</f>
        <v>673704.75</v>
      </c>
      <c r="G4" s="70">
        <f>'Main Budget'!G6+'Main Budget'!G7</f>
        <v>682849.98750000005</v>
      </c>
      <c r="H4" s="70">
        <f>SUM(C4:G4)</f>
        <v>4080849.7374999998</v>
      </c>
    </row>
    <row r="5" spans="1:8" ht="65">
      <c r="A5" s="65" t="s">
        <v>211</v>
      </c>
      <c r="B5" s="64" t="s">
        <v>225</v>
      </c>
      <c r="C5" s="70">
        <f>'Main Budget'!C9+'Main Budget'!C12</f>
        <v>1465000</v>
      </c>
      <c r="D5" s="70">
        <f>'Main Budget'!D9+'Main Budget'!D12</f>
        <v>2120000</v>
      </c>
      <c r="E5" s="70">
        <f>'Main Budget'!E9+'Main Budget'!E12</f>
        <v>1120000</v>
      </c>
      <c r="F5" s="70">
        <f>'Main Budget'!F9+'Main Budget'!F12</f>
        <v>1120000</v>
      </c>
      <c r="G5" s="70">
        <f>'Main Budget'!G9+'Main Budget'!G12</f>
        <v>620000</v>
      </c>
      <c r="H5" s="70">
        <f>SUM(C5:G5)</f>
        <v>6445000</v>
      </c>
    </row>
    <row r="6" spans="1:8" ht="39">
      <c r="A6" s="66" t="s">
        <v>212</v>
      </c>
      <c r="B6" s="64" t="s">
        <v>31</v>
      </c>
      <c r="C6" s="70">
        <f>'Main Budget'!C13</f>
        <v>2098300</v>
      </c>
      <c r="D6" s="70">
        <f>'Main Budget'!D13</f>
        <v>1687700</v>
      </c>
      <c r="E6" s="70">
        <f>'Main Budget'!E13</f>
        <v>1079000</v>
      </c>
      <c r="F6" s="70">
        <f>'Main Budget'!F13</f>
        <v>1115700</v>
      </c>
      <c r="G6" s="70">
        <f>'Main Budget'!G13</f>
        <v>965700</v>
      </c>
      <c r="H6" s="70">
        <f>SUM(C6:G6)</f>
        <v>6946400</v>
      </c>
    </row>
    <row r="7" spans="1:8">
      <c r="A7" s="66"/>
      <c r="B7" s="64" t="s">
        <v>51</v>
      </c>
      <c r="C7" s="70">
        <f>'Main Budget'!C18</f>
        <v>29800000</v>
      </c>
      <c r="D7" s="70">
        <f>'Main Budget'!D18</f>
        <v>29570000</v>
      </c>
      <c r="E7" s="70">
        <f>'Main Budget'!E18</f>
        <v>29570000</v>
      </c>
      <c r="F7" s="70">
        <f>'Main Budget'!F18</f>
        <v>29570000</v>
      </c>
      <c r="G7" s="70">
        <f>'Main Budget'!G18</f>
        <v>29570000</v>
      </c>
      <c r="H7" s="70">
        <f>SUM(C7:G7)</f>
        <v>148080000</v>
      </c>
    </row>
    <row r="8" spans="1:8">
      <c r="A8" s="66"/>
      <c r="B8" s="69" t="s">
        <v>76</v>
      </c>
      <c r="C8" s="70">
        <f>'Main Budget'!C25</f>
        <v>260000</v>
      </c>
      <c r="D8" s="70">
        <f>'Main Budget'!D25</f>
        <v>520000</v>
      </c>
      <c r="E8" s="70">
        <f>'Main Budget'!E25</f>
        <v>55590000</v>
      </c>
      <c r="F8" s="70">
        <f>'Main Budget'!F25</f>
        <v>5280000</v>
      </c>
      <c r="G8" s="70">
        <f>'Main Budget'!G25</f>
        <v>5280000</v>
      </c>
      <c r="H8" s="70">
        <f>SUM(C8:G8)</f>
        <v>66930000</v>
      </c>
    </row>
    <row r="9" spans="1:8" ht="26">
      <c r="A9" s="67"/>
      <c r="B9" s="69" t="s">
        <v>102</v>
      </c>
      <c r="C9" s="70">
        <f>'Main Budget'!C31</f>
        <v>120000</v>
      </c>
      <c r="D9" s="70">
        <f>'Main Budget'!D31</f>
        <v>100000</v>
      </c>
      <c r="E9" s="70">
        <f>'Main Budget'!E31</f>
        <v>235000</v>
      </c>
      <c r="F9" s="70">
        <f>'Main Budget'!F31</f>
        <v>140000</v>
      </c>
      <c r="G9" s="70">
        <f>'Main Budget'!G31</f>
        <v>150000</v>
      </c>
      <c r="H9" s="70">
        <f>'Main Budget'!H31</f>
        <v>745000</v>
      </c>
    </row>
    <row r="10" spans="1:8" ht="26">
      <c r="A10" s="67" t="s">
        <v>213</v>
      </c>
      <c r="B10" s="47"/>
      <c r="C10" s="70" t="s">
        <v>136</v>
      </c>
      <c r="D10" s="70" t="s">
        <v>136</v>
      </c>
      <c r="E10" s="70" t="s">
        <v>136</v>
      </c>
      <c r="F10" s="70" t="s">
        <v>136</v>
      </c>
      <c r="G10" s="70" t="s">
        <v>136</v>
      </c>
      <c r="H10" s="70"/>
    </row>
    <row r="11" spans="1:8" ht="78.5" thickBot="1">
      <c r="A11" s="68" t="s">
        <v>267</v>
      </c>
      <c r="B11" s="64" t="s">
        <v>224</v>
      </c>
      <c r="C11" s="70">
        <f>'Main Budget'!C8</f>
        <v>700000</v>
      </c>
      <c r="D11" s="70">
        <f>'Main Budget'!D8</f>
        <v>700000</v>
      </c>
      <c r="E11" s="70">
        <f>'Main Budget'!E8</f>
        <v>700000</v>
      </c>
      <c r="F11" s="70">
        <f>'Main Budget'!F8</f>
        <v>700000</v>
      </c>
      <c r="G11" s="70">
        <f>'Main Budget'!G8</f>
        <v>700000</v>
      </c>
      <c r="H11" s="70">
        <f>SUM(C11:G11)</f>
        <v>3500000</v>
      </c>
    </row>
    <row r="12" spans="1:8" ht="39.5" thickBot="1">
      <c r="A12" s="68" t="s">
        <v>264</v>
      </c>
      <c r="B12" s="47"/>
      <c r="C12" s="70" t="s">
        <v>269</v>
      </c>
      <c r="D12" s="70" t="s">
        <v>269</v>
      </c>
      <c r="E12" s="70" t="s">
        <v>269</v>
      </c>
      <c r="F12" s="70" t="s">
        <v>269</v>
      </c>
      <c r="G12" s="70" t="s">
        <v>269</v>
      </c>
      <c r="H12" s="70"/>
    </row>
    <row r="13" spans="1:8" ht="39.5" thickBot="1">
      <c r="A13" s="68" t="s">
        <v>214</v>
      </c>
      <c r="B13" s="47"/>
      <c r="C13" s="70" t="s">
        <v>269</v>
      </c>
      <c r="D13" s="70" t="s">
        <v>269</v>
      </c>
      <c r="E13" s="70" t="s">
        <v>269</v>
      </c>
      <c r="F13" s="70" t="s">
        <v>269</v>
      </c>
      <c r="G13" s="70" t="s">
        <v>269</v>
      </c>
      <c r="H13" s="70"/>
    </row>
    <row r="14" spans="1:8" ht="15" thickBot="1">
      <c r="A14" s="68" t="s">
        <v>215</v>
      </c>
      <c r="B14" s="47"/>
      <c r="C14" s="70"/>
      <c r="D14" s="70"/>
      <c r="E14" s="70"/>
      <c r="F14" s="70"/>
      <c r="G14" s="70"/>
      <c r="H14" s="70"/>
    </row>
    <row r="15" spans="1:8" s="21" customFormat="1" ht="15" thickBot="1">
      <c r="A15" s="71" t="s">
        <v>154</v>
      </c>
      <c r="B15" s="55"/>
      <c r="C15" s="72">
        <f t="shared" ref="C15:H15" si="0">SUM(C4:C14)</f>
        <v>35845900</v>
      </c>
      <c r="D15" s="72">
        <f t="shared" si="0"/>
        <v>35354400</v>
      </c>
      <c r="E15" s="72">
        <f t="shared" si="0"/>
        <v>88958995</v>
      </c>
      <c r="F15" s="72">
        <f t="shared" si="0"/>
        <v>38599404.75</v>
      </c>
      <c r="G15" s="72">
        <f t="shared" si="0"/>
        <v>37968549.987499997</v>
      </c>
      <c r="H15" s="72">
        <f t="shared" si="0"/>
        <v>236727249.73750001</v>
      </c>
    </row>
    <row r="16" spans="1:8">
      <c r="A16" s="109" t="s">
        <v>268</v>
      </c>
    </row>
    <row r="17" spans="1:2">
      <c r="A17" s="110"/>
    </row>
    <row r="18" spans="1:2" ht="15" thickBot="1">
      <c r="A18" s="21" t="s">
        <v>270</v>
      </c>
    </row>
    <row r="19" spans="1:2" ht="15" thickBot="1">
      <c r="A19" s="122" t="s">
        <v>1</v>
      </c>
      <c r="B19" s="123" t="s">
        <v>271</v>
      </c>
    </row>
    <row r="20" spans="1:2">
      <c r="A20" s="116" t="s">
        <v>20</v>
      </c>
      <c r="B20" s="117">
        <f>'Main Budget'!L41</f>
        <v>2100000</v>
      </c>
    </row>
    <row r="21" spans="1:2">
      <c r="A21" s="112" t="s">
        <v>22</v>
      </c>
      <c r="B21" s="111">
        <f>'Main Budget'!L42</f>
        <v>2500000</v>
      </c>
    </row>
    <row r="22" spans="1:2" ht="34.5">
      <c r="A22" s="113" t="s">
        <v>43</v>
      </c>
      <c r="B22" s="111">
        <f>'Main Budget'!L43</f>
        <v>1520400</v>
      </c>
    </row>
    <row r="23" spans="1:2" ht="34.5">
      <c r="A23" s="114" t="s">
        <v>70</v>
      </c>
      <c r="B23" s="111">
        <f>'Main Budget'!L44</f>
        <v>27500000</v>
      </c>
    </row>
    <row r="24" spans="1:2">
      <c r="A24" s="112" t="s">
        <v>82</v>
      </c>
      <c r="B24" s="115">
        <f>'Main Budget'!L45</f>
        <v>15200000</v>
      </c>
    </row>
    <row r="25" spans="1:2" ht="15" thickBot="1">
      <c r="A25" s="118" t="s">
        <v>96</v>
      </c>
      <c r="B25" s="119">
        <f>'Main Budget'!L46</f>
        <v>1170000</v>
      </c>
    </row>
    <row r="26" spans="1:2" ht="15" thickBot="1">
      <c r="A26" s="120" t="s">
        <v>135</v>
      </c>
      <c r="B26" s="121">
        <f>SUM(B20:B25)</f>
        <v>49990400</v>
      </c>
    </row>
    <row r="27" spans="1:2">
      <c r="A27" t="s">
        <v>272</v>
      </c>
    </row>
  </sheetData>
  <pageMargins left="0.7" right="0.7" top="0.75" bottom="0.75" header="0.3" footer="0.3"/>
  <pageSetup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workbookViewId="0">
      <selection activeCell="L9" sqref="L9"/>
    </sheetView>
  </sheetViews>
  <sheetFormatPr defaultRowHeight="14.5" outlineLevelRow="1"/>
  <cols>
    <col min="2" max="2" width="55.81640625" bestFit="1" customWidth="1"/>
    <col min="3" max="3" width="11.81640625" bestFit="1" customWidth="1"/>
    <col min="4" max="5" width="14" customWidth="1"/>
    <col min="6" max="6" width="13.1796875" customWidth="1"/>
    <col min="7" max="7" width="13.81640625" customWidth="1"/>
    <col min="8" max="8" width="20.1796875" customWidth="1"/>
    <col min="9" max="9" width="29.1796875" bestFit="1" customWidth="1"/>
  </cols>
  <sheetData>
    <row r="1" spans="1:9" s="21" customFormat="1">
      <c r="A1" s="17">
        <v>1</v>
      </c>
      <c r="B1" s="6" t="s">
        <v>8</v>
      </c>
      <c r="C1" s="32">
        <f>SUM(C3:C5)</f>
        <v>155000</v>
      </c>
      <c r="D1" s="32">
        <f>SUM(D3:D5)</f>
        <v>0</v>
      </c>
      <c r="E1" s="32">
        <f>SUM(E3:E5)</f>
        <v>0</v>
      </c>
      <c r="F1" s="32">
        <f>SUM(F3:F5)</f>
        <v>0</v>
      </c>
      <c r="G1" s="32">
        <f>SUM(G3:G5)</f>
        <v>0</v>
      </c>
      <c r="H1" s="32">
        <f>SUM(C1:G1)</f>
        <v>155000</v>
      </c>
      <c r="I1" s="34"/>
    </row>
    <row r="2" spans="1:9">
      <c r="A2" s="15">
        <v>1.1000000000000001</v>
      </c>
      <c r="B2" s="8" t="s">
        <v>193</v>
      </c>
      <c r="C2" s="27"/>
      <c r="D2" s="27"/>
      <c r="E2" s="27"/>
      <c r="F2" s="27"/>
      <c r="G2" s="27"/>
      <c r="H2" s="26"/>
      <c r="I2" s="4"/>
    </row>
    <row r="3" spans="1:9">
      <c r="A3" s="15"/>
      <c r="B3" s="8" t="s">
        <v>195</v>
      </c>
      <c r="C3" s="27">
        <f>60000*2</f>
        <v>120000</v>
      </c>
      <c r="D3" s="27"/>
      <c r="E3" s="27"/>
      <c r="F3" s="27"/>
      <c r="G3" s="27"/>
      <c r="H3" s="26"/>
      <c r="I3" s="4"/>
    </row>
    <row r="4" spans="1:9">
      <c r="A4" s="15"/>
      <c r="B4" s="7" t="s">
        <v>196</v>
      </c>
      <c r="C4" s="28">
        <v>35000</v>
      </c>
      <c r="D4" s="28"/>
      <c r="E4" s="28"/>
      <c r="F4" s="28"/>
      <c r="G4" s="28"/>
      <c r="H4" s="26"/>
      <c r="I4" s="4"/>
    </row>
    <row r="5" spans="1:9">
      <c r="A5" s="15"/>
      <c r="B5" s="7"/>
      <c r="C5" s="27"/>
      <c r="D5" s="27"/>
      <c r="E5" s="27"/>
      <c r="F5" s="27"/>
      <c r="G5" s="27"/>
      <c r="H5" s="26"/>
      <c r="I5" s="4"/>
    </row>
    <row r="6" spans="1:9" s="21" customFormat="1">
      <c r="A6" s="17">
        <v>2</v>
      </c>
      <c r="B6" s="6" t="s">
        <v>12</v>
      </c>
      <c r="C6" s="32">
        <f>C7+C13+C18</f>
        <v>1167600</v>
      </c>
      <c r="D6" s="32">
        <f>D7+D13+D18</f>
        <v>576700</v>
      </c>
      <c r="E6" s="32">
        <f>E7+E13+E18</f>
        <v>584995</v>
      </c>
      <c r="F6" s="32">
        <f>F7+F13+F18</f>
        <v>593704.75</v>
      </c>
      <c r="G6" s="32">
        <f>G7+G13+G18</f>
        <v>602849.98750000005</v>
      </c>
      <c r="H6" s="32">
        <f t="shared" ref="H6:H22" si="0">SUM(C6:G6)</f>
        <v>3525849.7374999998</v>
      </c>
      <c r="I6" s="33"/>
    </row>
    <row r="7" spans="1:9">
      <c r="A7" s="75">
        <v>2.1</v>
      </c>
      <c r="B7" s="76" t="s">
        <v>141</v>
      </c>
      <c r="C7" s="74">
        <f>SUM(C8:C12)</f>
        <v>646800</v>
      </c>
      <c r="D7" s="74">
        <f>SUM(D8:D12)</f>
        <v>48000</v>
      </c>
      <c r="E7" s="74">
        <f>SUM(E8:E12)</f>
        <v>48000</v>
      </c>
      <c r="F7" s="74">
        <f>SUM(F8:F12)</f>
        <v>48000</v>
      </c>
      <c r="G7" s="74">
        <f>SUM(G8:G12)</f>
        <v>48000</v>
      </c>
      <c r="H7" s="26">
        <f t="shared" si="0"/>
        <v>838800</v>
      </c>
      <c r="I7" s="4" t="s">
        <v>151</v>
      </c>
    </row>
    <row r="8" spans="1:9" outlineLevel="1">
      <c r="A8" s="15" t="s">
        <v>108</v>
      </c>
      <c r="B8" s="8" t="s">
        <v>139</v>
      </c>
      <c r="C8" s="27">
        <v>80000</v>
      </c>
      <c r="D8" s="27"/>
      <c r="E8" s="27"/>
      <c r="F8" s="27"/>
      <c r="G8" s="27"/>
      <c r="H8" s="26">
        <f t="shared" si="0"/>
        <v>80000</v>
      </c>
      <c r="I8" s="4" t="s">
        <v>134</v>
      </c>
    </row>
    <row r="9" spans="1:9" outlineLevel="1">
      <c r="A9" s="15" t="s">
        <v>110</v>
      </c>
      <c r="B9" s="8" t="s">
        <v>138</v>
      </c>
      <c r="C9" s="27">
        <f>SUM(C10:C11)</f>
        <v>259400</v>
      </c>
      <c r="D9" s="27"/>
      <c r="E9" s="27"/>
      <c r="F9" s="27"/>
      <c r="G9" s="27"/>
      <c r="H9" s="26">
        <f t="shared" si="0"/>
        <v>259400</v>
      </c>
      <c r="I9" s="30" t="s">
        <v>198</v>
      </c>
    </row>
    <row r="10" spans="1:9" outlineLevel="1">
      <c r="A10" s="15"/>
      <c r="B10" s="8" t="s">
        <v>227</v>
      </c>
      <c r="C10" s="27">
        <f>58000*2</f>
        <v>116000</v>
      </c>
      <c r="D10" s="27"/>
      <c r="E10" s="27"/>
      <c r="F10" s="27"/>
      <c r="G10" s="27"/>
      <c r="H10" s="26"/>
      <c r="I10" s="73" t="s">
        <v>226</v>
      </c>
    </row>
    <row r="11" spans="1:9" outlineLevel="1">
      <c r="A11" s="15"/>
      <c r="B11" s="7" t="s">
        <v>229</v>
      </c>
      <c r="C11" s="27">
        <f>23900*6</f>
        <v>143400</v>
      </c>
      <c r="D11" s="27"/>
      <c r="E11" s="27"/>
      <c r="F11" s="27"/>
      <c r="G11" s="27"/>
      <c r="H11" s="26"/>
      <c r="I11" s="73" t="s">
        <v>228</v>
      </c>
    </row>
    <row r="12" spans="1:9" outlineLevel="1">
      <c r="A12" s="15" t="s">
        <v>112</v>
      </c>
      <c r="B12" s="8" t="s">
        <v>140</v>
      </c>
      <c r="C12" s="27">
        <f>4000*12</f>
        <v>48000</v>
      </c>
      <c r="D12" s="27">
        <f>C12</f>
        <v>48000</v>
      </c>
      <c r="E12" s="27">
        <f>D12</f>
        <v>48000</v>
      </c>
      <c r="F12" s="27">
        <f>E12</f>
        <v>48000</v>
      </c>
      <c r="G12" s="27">
        <f>F12</f>
        <v>48000</v>
      </c>
      <c r="H12" s="26">
        <f t="shared" si="0"/>
        <v>240000</v>
      </c>
      <c r="I12" s="4" t="s">
        <v>197</v>
      </c>
    </row>
    <row r="13" spans="1:9">
      <c r="A13" s="75">
        <v>2.2000000000000002</v>
      </c>
      <c r="B13" s="76" t="s">
        <v>137</v>
      </c>
      <c r="C13" s="74">
        <f>SUM(C14:C17)</f>
        <v>202800</v>
      </c>
      <c r="D13" s="74">
        <f>SUM(D14:D17)</f>
        <v>202800</v>
      </c>
      <c r="E13" s="74">
        <f>SUM(E14:E17)</f>
        <v>202800</v>
      </c>
      <c r="F13" s="74">
        <f>SUM(F14:F17)</f>
        <v>202800</v>
      </c>
      <c r="G13" s="74">
        <f>SUM(G14:G17)</f>
        <v>202800</v>
      </c>
      <c r="H13" s="26">
        <f t="shared" si="0"/>
        <v>1014000</v>
      </c>
      <c r="I13" s="4" t="s">
        <v>151</v>
      </c>
    </row>
    <row r="14" spans="1:9" outlineLevel="1">
      <c r="A14" s="15" t="s">
        <v>115</v>
      </c>
      <c r="B14" s="8" t="s">
        <v>142</v>
      </c>
      <c r="C14" s="27">
        <f>14000*12</f>
        <v>168000</v>
      </c>
      <c r="D14" s="27">
        <f>C14</f>
        <v>168000</v>
      </c>
      <c r="E14" s="27">
        <f>D14</f>
        <v>168000</v>
      </c>
      <c r="F14" s="27">
        <f>E14</f>
        <v>168000</v>
      </c>
      <c r="G14" s="27">
        <f>F14</f>
        <v>168000</v>
      </c>
      <c r="H14" s="26">
        <f t="shared" si="0"/>
        <v>840000</v>
      </c>
      <c r="I14" s="4" t="s">
        <v>146</v>
      </c>
    </row>
    <row r="15" spans="1:9" outlineLevel="1">
      <c r="A15" s="15" t="s">
        <v>117</v>
      </c>
      <c r="B15" s="8" t="s">
        <v>143</v>
      </c>
      <c r="C15" s="27">
        <f>1500*12</f>
        <v>18000</v>
      </c>
      <c r="D15" s="27">
        <f>C15</f>
        <v>18000</v>
      </c>
      <c r="E15" s="27">
        <f t="shared" ref="E15:G17" si="1">D15</f>
        <v>18000</v>
      </c>
      <c r="F15" s="27">
        <f t="shared" si="1"/>
        <v>18000</v>
      </c>
      <c r="G15" s="27">
        <f t="shared" si="1"/>
        <v>18000</v>
      </c>
      <c r="H15" s="26">
        <f t="shared" si="0"/>
        <v>90000</v>
      </c>
      <c r="I15" s="4" t="s">
        <v>147</v>
      </c>
    </row>
    <row r="16" spans="1:9" outlineLevel="1">
      <c r="A16" s="15" t="s">
        <v>119</v>
      </c>
      <c r="B16" s="8" t="s">
        <v>144</v>
      </c>
      <c r="C16" s="27">
        <f>1000*12</f>
        <v>12000</v>
      </c>
      <c r="D16" s="27">
        <f>C16</f>
        <v>12000</v>
      </c>
      <c r="E16" s="27">
        <f t="shared" si="1"/>
        <v>12000</v>
      </c>
      <c r="F16" s="27">
        <f t="shared" si="1"/>
        <v>12000</v>
      </c>
      <c r="G16" s="27">
        <f t="shared" si="1"/>
        <v>12000</v>
      </c>
      <c r="H16" s="26">
        <f t="shared" si="0"/>
        <v>60000</v>
      </c>
      <c r="I16" s="4" t="s">
        <v>148</v>
      </c>
    </row>
    <row r="17" spans="1:9" outlineLevel="1">
      <c r="A17" s="15" t="s">
        <v>230</v>
      </c>
      <c r="B17" s="8" t="s">
        <v>145</v>
      </c>
      <c r="C17" s="27">
        <f>400*12</f>
        <v>4800</v>
      </c>
      <c r="D17" s="27">
        <f>C17</f>
        <v>4800</v>
      </c>
      <c r="E17" s="27">
        <f t="shared" si="1"/>
        <v>4800</v>
      </c>
      <c r="F17" s="27">
        <f t="shared" si="1"/>
        <v>4800</v>
      </c>
      <c r="G17" s="27">
        <f t="shared" si="1"/>
        <v>4800</v>
      </c>
      <c r="H17" s="26">
        <f t="shared" si="0"/>
        <v>24000</v>
      </c>
      <c r="I17" s="4" t="s">
        <v>149</v>
      </c>
    </row>
    <row r="18" spans="1:9">
      <c r="A18" s="75">
        <v>2.2999999999999998</v>
      </c>
      <c r="B18" s="76" t="s">
        <v>14</v>
      </c>
      <c r="C18" s="74">
        <f>SUM(C19:C22)</f>
        <v>318000</v>
      </c>
      <c r="D18" s="74">
        <f>SUM(D19:D22)</f>
        <v>325900</v>
      </c>
      <c r="E18" s="74">
        <f>SUM(E19:E22)</f>
        <v>334195</v>
      </c>
      <c r="F18" s="74">
        <f>SUM(F19:F22)</f>
        <v>342904.75</v>
      </c>
      <c r="G18" s="74">
        <f>SUM(G19:G22)</f>
        <v>352049.98749999999</v>
      </c>
      <c r="H18" s="26">
        <f t="shared" si="0"/>
        <v>1673049.7375</v>
      </c>
      <c r="I18" s="4" t="s">
        <v>150</v>
      </c>
    </row>
    <row r="19" spans="1:9">
      <c r="A19" s="79" t="s">
        <v>122</v>
      </c>
      <c r="B19" s="77" t="s">
        <v>231</v>
      </c>
      <c r="C19" s="27">
        <v>60000</v>
      </c>
      <c r="D19" s="78">
        <f t="shared" ref="D19:G21" si="2">C19*1.05</f>
        <v>63000</v>
      </c>
      <c r="E19" s="78">
        <f t="shared" si="2"/>
        <v>66150</v>
      </c>
      <c r="F19" s="78">
        <f t="shared" si="2"/>
        <v>69457.5</v>
      </c>
      <c r="G19" s="78">
        <f t="shared" si="2"/>
        <v>72930.375</v>
      </c>
      <c r="H19" s="26">
        <f t="shared" si="0"/>
        <v>331537.875</v>
      </c>
      <c r="I19" s="4" t="s">
        <v>235</v>
      </c>
    </row>
    <row r="20" spans="1:9">
      <c r="A20" s="79" t="s">
        <v>124</v>
      </c>
      <c r="B20" s="77" t="s">
        <v>232</v>
      </c>
      <c r="C20" s="27">
        <v>50000</v>
      </c>
      <c r="D20" s="78">
        <f t="shared" si="2"/>
        <v>52500</v>
      </c>
      <c r="E20" s="78">
        <f t="shared" si="2"/>
        <v>55125</v>
      </c>
      <c r="F20" s="78">
        <f t="shared" si="2"/>
        <v>57881.25</v>
      </c>
      <c r="G20" s="78">
        <f t="shared" si="2"/>
        <v>60775.3125</v>
      </c>
      <c r="H20" s="26">
        <f t="shared" si="0"/>
        <v>276281.5625</v>
      </c>
      <c r="I20" s="4" t="s">
        <v>236</v>
      </c>
    </row>
    <row r="21" spans="1:9">
      <c r="A21" s="79" t="s">
        <v>239</v>
      </c>
      <c r="B21" s="77" t="s">
        <v>233</v>
      </c>
      <c r="C21" s="27">
        <v>48000</v>
      </c>
      <c r="D21" s="78">
        <f t="shared" si="2"/>
        <v>50400</v>
      </c>
      <c r="E21" s="78">
        <f t="shared" si="2"/>
        <v>52920</v>
      </c>
      <c r="F21" s="78">
        <f t="shared" si="2"/>
        <v>55566</v>
      </c>
      <c r="G21" s="78">
        <f t="shared" si="2"/>
        <v>58344.3</v>
      </c>
      <c r="H21" s="26">
        <f t="shared" si="0"/>
        <v>265230.3</v>
      </c>
      <c r="I21" s="4" t="s">
        <v>237</v>
      </c>
    </row>
    <row r="22" spans="1:9">
      <c r="A22" s="79" t="s">
        <v>240</v>
      </c>
      <c r="B22" s="77" t="s">
        <v>234</v>
      </c>
      <c r="C22" s="78">
        <v>160000</v>
      </c>
      <c r="D22" s="78">
        <v>160000</v>
      </c>
      <c r="E22" s="78">
        <v>160000</v>
      </c>
      <c r="F22" s="78">
        <v>160000</v>
      </c>
      <c r="G22" s="78">
        <v>160000</v>
      </c>
      <c r="H22" s="26">
        <f t="shared" si="0"/>
        <v>800000</v>
      </c>
      <c r="I22" s="4" t="s">
        <v>238</v>
      </c>
    </row>
  </sheetData>
  <hyperlinks>
    <hyperlink ref="I9" r:id="rId1" display="5@40,000"/>
    <hyperlink ref="I22" r:id="rId2"/>
  </hyperlinks>
  <pageMargins left="0.7" right="0.7" top="0.75" bottom="0.75" header="0.3" footer="0.3"/>
  <pageSetup scale="82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I19" sqref="I19"/>
    </sheetView>
  </sheetViews>
  <sheetFormatPr defaultRowHeight="14.5"/>
  <cols>
    <col min="1" max="1" width="24.1796875" customWidth="1"/>
    <col min="3" max="3" width="9.81640625" bestFit="1" customWidth="1"/>
    <col min="4" max="4" width="11" bestFit="1" customWidth="1"/>
    <col min="5" max="5" width="11.81640625" bestFit="1" customWidth="1"/>
  </cols>
  <sheetData>
    <row r="1" spans="1:5">
      <c r="A1" s="49" t="s">
        <v>185</v>
      </c>
      <c r="B1" s="50"/>
      <c r="C1" s="50"/>
      <c r="D1" s="50"/>
      <c r="E1" s="50"/>
    </row>
    <row r="2" spans="1:5">
      <c r="A2" s="51" t="s">
        <v>171</v>
      </c>
      <c r="B2" s="52" t="s">
        <v>172</v>
      </c>
      <c r="C2" s="52" t="s">
        <v>174</v>
      </c>
      <c r="D2" s="52"/>
      <c r="E2" s="53" t="s">
        <v>135</v>
      </c>
    </row>
    <row r="3" spans="1:5">
      <c r="A3" s="47" t="s">
        <v>173</v>
      </c>
      <c r="B3" s="47">
        <v>6</v>
      </c>
      <c r="C3" s="5">
        <v>2500</v>
      </c>
      <c r="D3" s="5"/>
      <c r="E3" s="5">
        <f t="shared" ref="E3:E8" si="0">B3*C3</f>
        <v>15000</v>
      </c>
    </row>
    <row r="4" spans="1:5">
      <c r="A4" s="47" t="s">
        <v>175</v>
      </c>
      <c r="B4" s="47">
        <v>6</v>
      </c>
      <c r="C4" s="5">
        <v>400</v>
      </c>
      <c r="D4" s="5"/>
      <c r="E4" s="5">
        <f t="shared" si="0"/>
        <v>2400</v>
      </c>
    </row>
    <row r="5" spans="1:5">
      <c r="A5" s="47" t="s">
        <v>176</v>
      </c>
      <c r="B5" s="47">
        <v>3</v>
      </c>
      <c r="C5" s="5">
        <v>2500</v>
      </c>
      <c r="D5" s="5"/>
      <c r="E5" s="5">
        <f t="shared" si="0"/>
        <v>7500</v>
      </c>
    </row>
    <row r="6" spans="1:5">
      <c r="A6" s="47" t="s">
        <v>177</v>
      </c>
      <c r="B6" s="47">
        <v>3</v>
      </c>
      <c r="C6" s="5">
        <v>1000</v>
      </c>
      <c r="D6" s="5"/>
      <c r="E6" s="5">
        <f t="shared" si="0"/>
        <v>3000</v>
      </c>
    </row>
    <row r="7" spans="1:5">
      <c r="A7" s="47" t="s">
        <v>209</v>
      </c>
      <c r="B7" s="47">
        <v>1</v>
      </c>
      <c r="C7" s="5">
        <v>10000</v>
      </c>
      <c r="D7" s="5"/>
      <c r="E7" s="5">
        <f t="shared" si="0"/>
        <v>10000</v>
      </c>
    </row>
    <row r="8" spans="1:5">
      <c r="A8" s="47" t="s">
        <v>181</v>
      </c>
      <c r="B8" s="47">
        <v>44</v>
      </c>
      <c r="C8" s="5">
        <v>300</v>
      </c>
      <c r="D8" s="5"/>
      <c r="E8" s="5">
        <f t="shared" si="0"/>
        <v>13200</v>
      </c>
    </row>
    <row r="9" spans="1:5" s="21" customFormat="1">
      <c r="A9" s="54" t="s">
        <v>135</v>
      </c>
      <c r="B9" s="55"/>
      <c r="C9" s="56"/>
      <c r="D9" s="56"/>
      <c r="E9" s="56">
        <f>SUM(E3:E8)</f>
        <v>51100</v>
      </c>
    </row>
    <row r="10" spans="1:5" s="21" customFormat="1">
      <c r="A10" s="55" t="s">
        <v>186</v>
      </c>
      <c r="B10" s="55"/>
      <c r="C10" s="56"/>
      <c r="D10" s="56"/>
      <c r="E10" s="56">
        <f>E9/2</f>
        <v>25550</v>
      </c>
    </row>
    <row r="11" spans="1:5">
      <c r="A11" s="47"/>
      <c r="B11" s="47"/>
      <c r="C11" s="5"/>
      <c r="D11" s="5"/>
      <c r="E11" s="5"/>
    </row>
    <row r="12" spans="1:5">
      <c r="A12" s="49" t="s">
        <v>187</v>
      </c>
      <c r="B12" s="50"/>
      <c r="C12" s="50"/>
      <c r="D12" s="50"/>
      <c r="E12" s="50"/>
    </row>
    <row r="13" spans="1:5">
      <c r="A13" s="51" t="s">
        <v>171</v>
      </c>
      <c r="B13" s="52" t="s">
        <v>172</v>
      </c>
      <c r="C13" s="52" t="s">
        <v>174</v>
      </c>
      <c r="D13" s="52"/>
      <c r="E13" s="53" t="s">
        <v>135</v>
      </c>
    </row>
    <row r="14" spans="1:5">
      <c r="A14" s="47" t="s">
        <v>178</v>
      </c>
      <c r="B14" s="47">
        <v>50</v>
      </c>
      <c r="C14" s="5">
        <v>25</v>
      </c>
      <c r="D14" s="5"/>
      <c r="E14" s="5">
        <f>B14*C14</f>
        <v>1250</v>
      </c>
    </row>
    <row r="15" spans="1:5">
      <c r="A15" s="47" t="s">
        <v>179</v>
      </c>
      <c r="B15" s="47">
        <v>50</v>
      </c>
      <c r="C15" s="5">
        <v>25</v>
      </c>
      <c r="D15" s="5"/>
      <c r="E15" s="5">
        <f>B15*C15</f>
        <v>1250</v>
      </c>
    </row>
    <row r="16" spans="1:5">
      <c r="A16" s="47" t="s">
        <v>180</v>
      </c>
      <c r="B16" s="47">
        <v>50</v>
      </c>
      <c r="C16" s="5">
        <v>5</v>
      </c>
      <c r="D16" s="5"/>
      <c r="E16" s="5">
        <f>B16*C16</f>
        <v>250</v>
      </c>
    </row>
    <row r="17" spans="1:5">
      <c r="A17" s="47" t="s">
        <v>181</v>
      </c>
      <c r="B17" s="47">
        <v>44</v>
      </c>
      <c r="C17" s="5">
        <v>300</v>
      </c>
      <c r="D17" s="5"/>
      <c r="E17" s="5">
        <f>B17*C17</f>
        <v>13200</v>
      </c>
    </row>
    <row r="18" spans="1:5" s="21" customFormat="1">
      <c r="A18" s="54" t="s">
        <v>135</v>
      </c>
      <c r="B18" s="55"/>
      <c r="C18" s="56"/>
      <c r="D18" s="56"/>
      <c r="E18" s="56">
        <f>SUM(E14:E17)</f>
        <v>15950</v>
      </c>
    </row>
    <row r="19" spans="1:5">
      <c r="C19" s="48"/>
      <c r="D19" s="48"/>
    </row>
    <row r="20" spans="1:5">
      <c r="A20" s="49" t="s">
        <v>182</v>
      </c>
      <c r="B20" s="50"/>
      <c r="C20" s="50"/>
      <c r="D20" s="50"/>
      <c r="E20" s="50"/>
    </row>
    <row r="21" spans="1:5">
      <c r="A21" s="57" t="s">
        <v>171</v>
      </c>
      <c r="B21" s="57" t="s">
        <v>172</v>
      </c>
      <c r="C21" s="57" t="s">
        <v>184</v>
      </c>
      <c r="D21" s="57" t="s">
        <v>174</v>
      </c>
      <c r="E21" s="57" t="s">
        <v>135</v>
      </c>
    </row>
    <row r="22" spans="1:5">
      <c r="A22" s="47" t="s">
        <v>183</v>
      </c>
      <c r="B22" s="47">
        <v>50</v>
      </c>
      <c r="C22" s="47">
        <v>12</v>
      </c>
      <c r="D22" s="58">
        <v>100</v>
      </c>
      <c r="E22" s="5">
        <f>B22*C22*D22</f>
        <v>60000</v>
      </c>
    </row>
    <row r="23" spans="1:5">
      <c r="C23" s="48"/>
      <c r="E23" s="59"/>
    </row>
    <row r="24" spans="1:5">
      <c r="A24" t="s">
        <v>188</v>
      </c>
      <c r="C24" s="48"/>
      <c r="D24" s="48"/>
      <c r="E24" s="59">
        <f>E9</f>
        <v>51100</v>
      </c>
    </row>
    <row r="25" spans="1:5">
      <c r="A25" t="s">
        <v>189</v>
      </c>
      <c r="C25" s="48"/>
      <c r="D25" s="48"/>
      <c r="E25" s="59">
        <f>E24*6</f>
        <v>306600</v>
      </c>
    </row>
    <row r="26" spans="1:5">
      <c r="C26" s="48"/>
      <c r="D26" s="48"/>
      <c r="E26" s="59"/>
    </row>
    <row r="27" spans="1:5">
      <c r="A27" t="s">
        <v>190</v>
      </c>
      <c r="E27" s="59">
        <f>E18+E22</f>
        <v>75950</v>
      </c>
    </row>
    <row r="28" spans="1:5">
      <c r="A28" t="s">
        <v>191</v>
      </c>
      <c r="E28" s="59">
        <f>E27*6</f>
        <v>455700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9"/>
  <sheetViews>
    <sheetView zoomScaleNormal="100" zoomScalePageLayoutView="90" workbookViewId="0">
      <pane xSplit="2" ySplit="2" topLeftCell="G28" activePane="bottomRight" state="frozen"/>
      <selection pane="topRight" activeCell="C1" sqref="C1"/>
      <selection pane="bottomLeft" activeCell="A3" sqref="A3"/>
      <selection pane="bottomRight" sqref="A1:XFD1048576"/>
    </sheetView>
  </sheetViews>
  <sheetFormatPr defaultRowHeight="14.5"/>
  <cols>
    <col min="1" max="1" width="6.7265625" style="20" customWidth="1"/>
    <col min="2" max="2" width="52.54296875" customWidth="1"/>
    <col min="3" max="3" width="15.7265625" style="23" customWidth="1"/>
    <col min="4" max="4" width="17.453125" style="23" customWidth="1"/>
    <col min="5" max="5" width="15.7265625" style="23" customWidth="1"/>
    <col min="6" max="6" width="16" style="23" customWidth="1"/>
    <col min="7" max="7" width="18.54296875" style="23" customWidth="1"/>
    <col min="8" max="8" width="19.1796875" style="23" customWidth="1"/>
    <col min="9" max="9" width="14.7265625" style="95" customWidth="1"/>
    <col min="10" max="10" width="8.7265625" style="61"/>
    <col min="12" max="13" width="18.7265625" bestFit="1" customWidth="1"/>
    <col min="14" max="14" width="14.1796875" customWidth="1"/>
    <col min="15" max="15" width="15" customWidth="1"/>
    <col min="17" max="17" width="14.81640625" bestFit="1" customWidth="1"/>
  </cols>
  <sheetData>
    <row r="1" spans="1:12" s="1" customFormat="1" ht="21">
      <c r="A1" s="35" t="s">
        <v>155</v>
      </c>
      <c r="C1" s="23"/>
      <c r="D1" s="23"/>
      <c r="E1" s="23"/>
      <c r="F1" s="23"/>
      <c r="G1" s="23"/>
      <c r="H1" s="23"/>
      <c r="I1" s="95"/>
    </row>
    <row r="2" spans="1:12" s="4" customFormat="1" ht="11.5">
      <c r="A2" s="36"/>
      <c r="C2" s="23"/>
      <c r="D2" s="23"/>
      <c r="E2" s="23"/>
      <c r="F2" s="23"/>
      <c r="G2" s="23"/>
      <c r="H2" s="23"/>
      <c r="I2" s="95"/>
    </row>
    <row r="3" spans="1:12" s="1" customFormat="1" ht="18.5">
      <c r="A3" s="37" t="s">
        <v>153</v>
      </c>
      <c r="C3" s="23"/>
      <c r="D3" s="23"/>
      <c r="E3" s="23"/>
      <c r="F3" s="23"/>
      <c r="G3" s="23"/>
      <c r="H3" s="23"/>
      <c r="I3" s="95"/>
    </row>
    <row r="4" spans="1:12" s="1" customFormat="1">
      <c r="A4" s="16" t="s">
        <v>0</v>
      </c>
      <c r="B4" s="2" t="s">
        <v>1</v>
      </c>
      <c r="C4" s="24" t="s">
        <v>2</v>
      </c>
      <c r="D4" s="24" t="s">
        <v>3</v>
      </c>
      <c r="E4" s="24" t="s">
        <v>4</v>
      </c>
      <c r="F4" s="24" t="s">
        <v>5</v>
      </c>
      <c r="G4" s="24" t="s">
        <v>6</v>
      </c>
      <c r="H4" s="24" t="s">
        <v>135</v>
      </c>
      <c r="I4" s="96" t="s">
        <v>7</v>
      </c>
    </row>
    <row r="5" spans="1:12" s="1" customFormat="1">
      <c r="A5" s="3" t="s">
        <v>30</v>
      </c>
      <c r="B5" s="3"/>
      <c r="C5" s="25">
        <f t="shared" ref="C5:H5" si="0">C41</f>
        <v>3567600</v>
      </c>
      <c r="D5" s="25">
        <f t="shared" si="0"/>
        <v>3476700</v>
      </c>
      <c r="E5" s="25">
        <f t="shared" si="0"/>
        <v>2484995</v>
      </c>
      <c r="F5" s="25">
        <f t="shared" si="0"/>
        <v>2493704.75</v>
      </c>
      <c r="G5" s="25">
        <f t="shared" si="0"/>
        <v>2002849.9875</v>
      </c>
      <c r="H5" s="25">
        <f t="shared" si="0"/>
        <v>14025849.737500001</v>
      </c>
      <c r="I5" s="97">
        <f>H5/H35*100</f>
        <v>5.9248986979964746</v>
      </c>
    </row>
    <row r="6" spans="1:12" s="41" customFormat="1">
      <c r="A6" s="38">
        <v>1</v>
      </c>
      <c r="B6" s="39" t="s">
        <v>8</v>
      </c>
      <c r="C6" s="40">
        <f>C42</f>
        <v>235000</v>
      </c>
      <c r="D6" s="40">
        <f>D42</f>
        <v>80000</v>
      </c>
      <c r="E6" s="40">
        <f>E42</f>
        <v>80000</v>
      </c>
      <c r="F6" s="40">
        <f>F42</f>
        <v>80000</v>
      </c>
      <c r="G6" s="40">
        <f>G42</f>
        <v>80000</v>
      </c>
      <c r="H6" s="40">
        <f>SUM(C6:G6)</f>
        <v>555000</v>
      </c>
      <c r="I6" s="98"/>
      <c r="J6" s="60" t="s">
        <v>245</v>
      </c>
      <c r="K6" s="41" t="s">
        <v>249</v>
      </c>
    </row>
    <row r="7" spans="1:12" s="41" customFormat="1">
      <c r="A7" s="38">
        <v>2</v>
      </c>
      <c r="B7" s="39" t="s">
        <v>12</v>
      </c>
      <c r="C7" s="40">
        <f>C47</f>
        <v>1167600</v>
      </c>
      <c r="D7" s="40">
        <f>D47</f>
        <v>576700</v>
      </c>
      <c r="E7" s="40">
        <f>E47</f>
        <v>584995</v>
      </c>
      <c r="F7" s="40">
        <f>F47</f>
        <v>593704.75</v>
      </c>
      <c r="G7" s="40">
        <f>G47</f>
        <v>602849.98750000005</v>
      </c>
      <c r="H7" s="40">
        <f t="shared" ref="H7:H12" si="1">SUM(C7:G7)</f>
        <v>3525849.7374999998</v>
      </c>
      <c r="I7" s="98"/>
      <c r="J7" s="60" t="s">
        <v>245</v>
      </c>
      <c r="K7" s="41" t="s">
        <v>249</v>
      </c>
    </row>
    <row r="8" spans="1:12" s="41" customFormat="1">
      <c r="A8" s="38">
        <v>3</v>
      </c>
      <c r="B8" s="39" t="s">
        <v>19</v>
      </c>
      <c r="C8" s="40">
        <f>C54</f>
        <v>700000</v>
      </c>
      <c r="D8" s="40">
        <f t="shared" ref="D8:G8" si="2">D54</f>
        <v>700000</v>
      </c>
      <c r="E8" s="40">
        <f t="shared" si="2"/>
        <v>700000</v>
      </c>
      <c r="F8" s="40">
        <f t="shared" si="2"/>
        <v>700000</v>
      </c>
      <c r="G8" s="40">
        <f t="shared" si="2"/>
        <v>700000</v>
      </c>
      <c r="H8" s="40">
        <f t="shared" si="1"/>
        <v>3500000</v>
      </c>
      <c r="I8" s="98"/>
      <c r="J8" s="60" t="s">
        <v>201</v>
      </c>
      <c r="K8" s="41" t="s">
        <v>252</v>
      </c>
    </row>
    <row r="9" spans="1:12" s="41" customFormat="1">
      <c r="A9" s="38">
        <v>4</v>
      </c>
      <c r="B9" s="39" t="s">
        <v>22</v>
      </c>
      <c r="C9" s="40">
        <f>C59</f>
        <v>1000000</v>
      </c>
      <c r="D9" s="40">
        <f t="shared" ref="D9:G9" si="3">D59</f>
        <v>2000000</v>
      </c>
      <c r="E9" s="40">
        <f t="shared" si="3"/>
        <v>1000000</v>
      </c>
      <c r="F9" s="40">
        <f t="shared" si="3"/>
        <v>1000000</v>
      </c>
      <c r="G9" s="40">
        <f t="shared" si="3"/>
        <v>500000</v>
      </c>
      <c r="H9" s="40">
        <f t="shared" si="1"/>
        <v>5500000</v>
      </c>
      <c r="I9" s="98"/>
      <c r="J9" s="60" t="s">
        <v>199</v>
      </c>
      <c r="K9" s="41" t="s">
        <v>251</v>
      </c>
    </row>
    <row r="10" spans="1:12" s="41" customFormat="1" hidden="1">
      <c r="A10" s="38"/>
      <c r="B10" s="39"/>
      <c r="C10" s="40"/>
      <c r="D10" s="40"/>
      <c r="E10" s="40"/>
      <c r="F10" s="40"/>
      <c r="G10" s="40"/>
      <c r="H10" s="40">
        <f>H12/3</f>
        <v>315000</v>
      </c>
      <c r="I10" s="98"/>
      <c r="J10" s="60" t="s">
        <v>201</v>
      </c>
    </row>
    <row r="11" spans="1:12" s="41" customFormat="1" hidden="1">
      <c r="A11" s="38"/>
      <c r="B11" s="39"/>
      <c r="C11" s="40"/>
      <c r="D11" s="40"/>
      <c r="E11" s="40"/>
      <c r="F11" s="40"/>
      <c r="G11" s="40"/>
      <c r="H11" s="40">
        <f>H12-H10</f>
        <v>630000</v>
      </c>
      <c r="I11" s="98"/>
      <c r="J11" s="60" t="s">
        <v>199</v>
      </c>
    </row>
    <row r="12" spans="1:12" s="41" customFormat="1">
      <c r="A12" s="38">
        <v>5</v>
      </c>
      <c r="B12" s="39" t="s">
        <v>24</v>
      </c>
      <c r="C12" s="40">
        <f>C61</f>
        <v>465000</v>
      </c>
      <c r="D12" s="40">
        <f t="shared" ref="D12:G12" si="4">D61</f>
        <v>120000</v>
      </c>
      <c r="E12" s="40">
        <f t="shared" si="4"/>
        <v>120000</v>
      </c>
      <c r="F12" s="40">
        <f t="shared" si="4"/>
        <v>120000</v>
      </c>
      <c r="G12" s="40">
        <f t="shared" si="4"/>
        <v>120000</v>
      </c>
      <c r="H12" s="40">
        <f t="shared" si="1"/>
        <v>945000</v>
      </c>
      <c r="I12" s="98"/>
      <c r="J12" s="41" t="s">
        <v>201</v>
      </c>
      <c r="K12" s="41" t="s">
        <v>253</v>
      </c>
      <c r="L12" s="94"/>
    </row>
    <row r="13" spans="1:12" s="22" customFormat="1">
      <c r="A13" s="9" t="s">
        <v>31</v>
      </c>
      <c r="B13" s="9"/>
      <c r="C13" s="31">
        <f>C67</f>
        <v>2098300</v>
      </c>
      <c r="D13" s="31">
        <f>D67</f>
        <v>1687700</v>
      </c>
      <c r="E13" s="31">
        <f>E67</f>
        <v>1079000</v>
      </c>
      <c r="F13" s="31">
        <f>F67</f>
        <v>1115700</v>
      </c>
      <c r="G13" s="31">
        <f>G67</f>
        <v>965700</v>
      </c>
      <c r="H13" s="31">
        <f>SUM(C13:G13)</f>
        <v>6946400</v>
      </c>
      <c r="I13" s="97">
        <f>H13/H35*100</f>
        <v>2.9343474431873231</v>
      </c>
      <c r="J13" s="1"/>
    </row>
    <row r="14" spans="1:12" s="41" customFormat="1">
      <c r="A14" s="38">
        <v>1</v>
      </c>
      <c r="B14" s="39" t="s">
        <v>32</v>
      </c>
      <c r="C14" s="40">
        <f>C68</f>
        <v>60000</v>
      </c>
      <c r="D14" s="40">
        <f t="shared" ref="D14:G14" si="5">D68</f>
        <v>0</v>
      </c>
      <c r="E14" s="40">
        <f t="shared" si="5"/>
        <v>60000</v>
      </c>
      <c r="F14" s="40">
        <f t="shared" si="5"/>
        <v>0</v>
      </c>
      <c r="G14" s="40">
        <f t="shared" si="5"/>
        <v>0</v>
      </c>
      <c r="H14" s="40">
        <f t="shared" ref="H14:H17" si="6">SUM(C14:G14)</f>
        <v>120000</v>
      </c>
      <c r="I14" s="98"/>
      <c r="J14" s="60" t="s">
        <v>200</v>
      </c>
      <c r="K14" s="41" t="s">
        <v>200</v>
      </c>
    </row>
    <row r="15" spans="1:12" s="41" customFormat="1">
      <c r="A15" s="38">
        <v>2</v>
      </c>
      <c r="B15" s="39" t="s">
        <v>35</v>
      </c>
      <c r="C15" s="40">
        <f>C71</f>
        <v>936000</v>
      </c>
      <c r="D15" s="40">
        <f t="shared" ref="D15:G15" si="7">D71</f>
        <v>672000</v>
      </c>
      <c r="E15" s="40">
        <f t="shared" si="7"/>
        <v>0</v>
      </c>
      <c r="F15" s="40">
        <f t="shared" si="7"/>
        <v>0</v>
      </c>
      <c r="G15" s="40">
        <f t="shared" si="7"/>
        <v>0</v>
      </c>
      <c r="H15" s="40">
        <f t="shared" si="6"/>
        <v>1608000</v>
      </c>
      <c r="I15" s="98"/>
      <c r="J15" s="60" t="s">
        <v>200</v>
      </c>
      <c r="K15" s="41" t="s">
        <v>254</v>
      </c>
      <c r="L15" s="94"/>
    </row>
    <row r="16" spans="1:12" s="41" customFormat="1">
      <c r="A16" s="38">
        <v>3</v>
      </c>
      <c r="B16" s="39" t="s">
        <v>41</v>
      </c>
      <c r="C16" s="40">
        <f>C77</f>
        <v>1002300</v>
      </c>
      <c r="D16" s="40">
        <f t="shared" ref="D16:G16" si="8">D77</f>
        <v>815700</v>
      </c>
      <c r="E16" s="40">
        <f t="shared" si="8"/>
        <v>819000</v>
      </c>
      <c r="F16" s="40">
        <f t="shared" si="8"/>
        <v>815700</v>
      </c>
      <c r="G16" s="40">
        <f t="shared" si="8"/>
        <v>665700</v>
      </c>
      <c r="H16" s="40">
        <f t="shared" si="6"/>
        <v>4118400</v>
      </c>
      <c r="I16" s="98"/>
      <c r="J16" s="60" t="s">
        <v>199</v>
      </c>
      <c r="K16" s="41" t="s">
        <v>200</v>
      </c>
    </row>
    <row r="17" spans="1:11" s="41" customFormat="1">
      <c r="A17" s="38">
        <v>4</v>
      </c>
      <c r="B17" s="39" t="s">
        <v>46</v>
      </c>
      <c r="C17" s="40">
        <f>C82</f>
        <v>100000</v>
      </c>
      <c r="D17" s="40">
        <f t="shared" ref="D17:G17" si="9">D82</f>
        <v>200000</v>
      </c>
      <c r="E17" s="40">
        <f t="shared" si="9"/>
        <v>200000</v>
      </c>
      <c r="F17" s="40">
        <f t="shared" si="9"/>
        <v>300000</v>
      </c>
      <c r="G17" s="40">
        <f t="shared" si="9"/>
        <v>300000</v>
      </c>
      <c r="H17" s="40">
        <f t="shared" si="6"/>
        <v>1100000</v>
      </c>
      <c r="I17" s="98"/>
      <c r="J17" s="60" t="s">
        <v>201</v>
      </c>
      <c r="K17" s="60" t="s">
        <v>253</v>
      </c>
    </row>
    <row r="18" spans="1:11" s="1" customFormat="1">
      <c r="A18" s="9" t="s">
        <v>51</v>
      </c>
      <c r="B18" s="9"/>
      <c r="C18" s="31">
        <f>C87</f>
        <v>29800000</v>
      </c>
      <c r="D18" s="31">
        <f t="shared" ref="D18:H19" si="10">D87</f>
        <v>29570000</v>
      </c>
      <c r="E18" s="31">
        <f t="shared" si="10"/>
        <v>29570000</v>
      </c>
      <c r="F18" s="31">
        <f t="shared" si="10"/>
        <v>29570000</v>
      </c>
      <c r="G18" s="31">
        <f t="shared" si="10"/>
        <v>29570000</v>
      </c>
      <c r="H18" s="31">
        <f t="shared" si="10"/>
        <v>148080000</v>
      </c>
      <c r="I18" s="97">
        <f>H18/H35*100</f>
        <v>62.553001466540771</v>
      </c>
    </row>
    <row r="19" spans="1:11" s="41" customFormat="1">
      <c r="A19" s="38">
        <v>1</v>
      </c>
      <c r="B19" s="39" t="s">
        <v>52</v>
      </c>
      <c r="C19" s="40">
        <f>C88</f>
        <v>100000</v>
      </c>
      <c r="D19" s="40">
        <f t="shared" si="10"/>
        <v>20000</v>
      </c>
      <c r="E19" s="40">
        <f t="shared" si="10"/>
        <v>20000</v>
      </c>
      <c r="F19" s="40">
        <f t="shared" si="10"/>
        <v>20000</v>
      </c>
      <c r="G19" s="40">
        <f t="shared" si="10"/>
        <v>20000</v>
      </c>
      <c r="H19" s="40">
        <f t="shared" si="10"/>
        <v>180000</v>
      </c>
      <c r="I19" s="98"/>
      <c r="J19" s="60" t="s">
        <v>245</v>
      </c>
      <c r="K19" s="41" t="s">
        <v>250</v>
      </c>
    </row>
    <row r="20" spans="1:11" s="41" customFormat="1">
      <c r="A20" s="38">
        <v>2</v>
      </c>
      <c r="B20" s="39" t="s">
        <v>58</v>
      </c>
      <c r="C20" s="40">
        <f>C94</f>
        <v>150000</v>
      </c>
      <c r="D20" s="40">
        <f t="shared" ref="D20:H20" si="11">D94</f>
        <v>0</v>
      </c>
      <c r="E20" s="40">
        <f t="shared" si="11"/>
        <v>0</v>
      </c>
      <c r="F20" s="40">
        <f t="shared" si="11"/>
        <v>0</v>
      </c>
      <c r="G20" s="40">
        <f t="shared" si="11"/>
        <v>0</v>
      </c>
      <c r="H20" s="40">
        <f t="shared" si="11"/>
        <v>150000</v>
      </c>
      <c r="I20" s="98"/>
      <c r="J20" s="60" t="s">
        <v>200</v>
      </c>
      <c r="K20" s="41" t="s">
        <v>200</v>
      </c>
    </row>
    <row r="21" spans="1:11" s="41" customFormat="1">
      <c r="A21" s="38">
        <v>3</v>
      </c>
      <c r="B21" s="39" t="s">
        <v>67</v>
      </c>
      <c r="C21" s="40">
        <f>C103</f>
        <v>29500000</v>
      </c>
      <c r="D21" s="40">
        <f>D103</f>
        <v>29500000</v>
      </c>
      <c r="E21" s="40">
        <f t="shared" ref="E21:H21" si="12">E103</f>
        <v>29500000</v>
      </c>
      <c r="F21" s="40">
        <f t="shared" si="12"/>
        <v>29500000</v>
      </c>
      <c r="G21" s="40">
        <f t="shared" si="12"/>
        <v>29500000</v>
      </c>
      <c r="H21" s="40">
        <f t="shared" si="12"/>
        <v>147500000</v>
      </c>
      <c r="I21" s="98"/>
      <c r="J21" s="60"/>
      <c r="K21" s="41" t="s">
        <v>255</v>
      </c>
    </row>
    <row r="22" spans="1:11" s="41" customFormat="1" ht="14.5" hidden="1" customHeight="1">
      <c r="A22" s="38"/>
      <c r="B22" s="39"/>
      <c r="C22" s="40"/>
      <c r="D22" s="40"/>
      <c r="E22" s="40"/>
      <c r="F22" s="40"/>
      <c r="G22" s="40"/>
      <c r="H22" s="40">
        <f>H21*0.75</f>
        <v>110625000</v>
      </c>
      <c r="I22" s="98"/>
      <c r="J22" s="60" t="s">
        <v>200</v>
      </c>
    </row>
    <row r="23" spans="1:11" s="41" customFormat="1" ht="14.5" hidden="1" customHeight="1">
      <c r="A23" s="38"/>
      <c r="B23" s="39"/>
      <c r="C23" s="40"/>
      <c r="D23" s="40"/>
      <c r="E23" s="40"/>
      <c r="F23" s="40"/>
      <c r="G23" s="40"/>
      <c r="H23" s="40">
        <f>H21*0.25</f>
        <v>36875000</v>
      </c>
      <c r="I23" s="98"/>
      <c r="J23" s="60" t="s">
        <v>246</v>
      </c>
    </row>
    <row r="24" spans="1:11" s="41" customFormat="1">
      <c r="A24" s="38">
        <v>4</v>
      </c>
      <c r="B24" s="39" t="s">
        <v>72</v>
      </c>
      <c r="C24" s="40">
        <f>C108</f>
        <v>50000</v>
      </c>
      <c r="D24" s="40">
        <f t="shared" ref="D24:H24" si="13">D108</f>
        <v>50000</v>
      </c>
      <c r="E24" s="40">
        <f t="shared" si="13"/>
        <v>50000</v>
      </c>
      <c r="F24" s="40">
        <f t="shared" si="13"/>
        <v>50000</v>
      </c>
      <c r="G24" s="40">
        <f t="shared" si="13"/>
        <v>50000</v>
      </c>
      <c r="H24" s="40">
        <f t="shared" si="13"/>
        <v>250000</v>
      </c>
      <c r="I24" s="98"/>
      <c r="J24" s="60" t="s">
        <v>201</v>
      </c>
      <c r="K24" s="41" t="s">
        <v>252</v>
      </c>
    </row>
    <row r="25" spans="1:11" s="1" customFormat="1">
      <c r="A25" s="9" t="s">
        <v>76</v>
      </c>
      <c r="B25" s="9"/>
      <c r="C25" s="31">
        <f>C112</f>
        <v>260000</v>
      </c>
      <c r="D25" s="31">
        <f t="shared" ref="D25:H26" si="14">D112</f>
        <v>520000</v>
      </c>
      <c r="E25" s="31">
        <f t="shared" si="14"/>
        <v>55590000</v>
      </c>
      <c r="F25" s="31">
        <f t="shared" si="14"/>
        <v>5280000</v>
      </c>
      <c r="G25" s="31">
        <f t="shared" si="14"/>
        <v>5280000</v>
      </c>
      <c r="H25" s="31">
        <f t="shared" si="14"/>
        <v>66930000</v>
      </c>
      <c r="I25" s="97">
        <f>H25/H35*100</f>
        <v>28.273044220391501</v>
      </c>
      <c r="J25" s="1" t="s">
        <v>244</v>
      </c>
    </row>
    <row r="26" spans="1:11" s="41" customFormat="1">
      <c r="A26" s="38">
        <v>1</v>
      </c>
      <c r="B26" s="39" t="s">
        <v>77</v>
      </c>
      <c r="C26" s="40">
        <f>C113</f>
        <v>50000</v>
      </c>
      <c r="D26" s="40">
        <f t="shared" si="14"/>
        <v>0</v>
      </c>
      <c r="E26" s="40">
        <f t="shared" si="14"/>
        <v>50000000</v>
      </c>
      <c r="F26" s="40">
        <f t="shared" si="14"/>
        <v>0</v>
      </c>
      <c r="G26" s="40">
        <f t="shared" si="14"/>
        <v>0</v>
      </c>
      <c r="H26" s="40">
        <f t="shared" si="14"/>
        <v>50050000</v>
      </c>
      <c r="I26" s="98"/>
      <c r="J26" s="60" t="s">
        <v>200</v>
      </c>
      <c r="K26" s="41" t="s">
        <v>200</v>
      </c>
    </row>
    <row r="27" spans="1:11" s="41" customFormat="1">
      <c r="A27" s="38">
        <v>2</v>
      </c>
      <c r="B27" s="39" t="s">
        <v>82</v>
      </c>
      <c r="C27" s="40">
        <f>C118</f>
        <v>120000</v>
      </c>
      <c r="D27" s="40">
        <f t="shared" ref="D27:H27" si="15">D118</f>
        <v>80000</v>
      </c>
      <c r="E27" s="40">
        <f t="shared" si="15"/>
        <v>5000000</v>
      </c>
      <c r="F27" s="40">
        <f t="shared" si="15"/>
        <v>5000000</v>
      </c>
      <c r="G27" s="40">
        <f t="shared" si="15"/>
        <v>5000000</v>
      </c>
      <c r="H27" s="40">
        <f t="shared" si="15"/>
        <v>15200000</v>
      </c>
      <c r="I27" s="98"/>
      <c r="J27" s="60" t="s">
        <v>199</v>
      </c>
      <c r="K27" s="41" t="s">
        <v>256</v>
      </c>
    </row>
    <row r="28" spans="1:11" s="41" customFormat="1">
      <c r="A28" s="38">
        <v>3</v>
      </c>
      <c r="B28" s="39" t="s">
        <v>88</v>
      </c>
      <c r="C28" s="40">
        <f>C124</f>
        <v>0</v>
      </c>
      <c r="D28" s="40">
        <f t="shared" ref="D28:H28" si="16">D124</f>
        <v>0</v>
      </c>
      <c r="E28" s="40">
        <f t="shared" si="16"/>
        <v>60000</v>
      </c>
      <c r="F28" s="40">
        <f t="shared" si="16"/>
        <v>50000</v>
      </c>
      <c r="G28" s="40">
        <f t="shared" si="16"/>
        <v>50000</v>
      </c>
      <c r="H28" s="40">
        <f t="shared" si="16"/>
        <v>160000</v>
      </c>
      <c r="I28" s="98"/>
      <c r="J28" s="60" t="s">
        <v>245</v>
      </c>
      <c r="K28" s="41" t="s">
        <v>250</v>
      </c>
    </row>
    <row r="29" spans="1:11" s="41" customFormat="1">
      <c r="A29" s="38">
        <v>4</v>
      </c>
      <c r="B29" s="39" t="s">
        <v>248</v>
      </c>
      <c r="C29" s="40">
        <f>C128</f>
        <v>60000</v>
      </c>
      <c r="D29" s="40">
        <f t="shared" ref="D29:H29" si="17">D128</f>
        <v>80000</v>
      </c>
      <c r="E29" s="40">
        <f t="shared" si="17"/>
        <v>50000</v>
      </c>
      <c r="F29" s="40">
        <f t="shared" si="17"/>
        <v>50000</v>
      </c>
      <c r="G29" s="40">
        <f t="shared" si="17"/>
        <v>50000</v>
      </c>
      <c r="H29" s="40">
        <f t="shared" si="17"/>
        <v>290000</v>
      </c>
      <c r="I29" s="98"/>
      <c r="J29" s="60" t="s">
        <v>201</v>
      </c>
    </row>
    <row r="30" spans="1:11" s="41" customFormat="1">
      <c r="A30" s="38">
        <v>5</v>
      </c>
      <c r="B30" s="39" t="s">
        <v>96</v>
      </c>
      <c r="C30" s="40">
        <f>C132</f>
        <v>30000</v>
      </c>
      <c r="D30" s="40">
        <f t="shared" ref="D30:H30" si="18">D132</f>
        <v>360000</v>
      </c>
      <c r="E30" s="40">
        <f t="shared" si="18"/>
        <v>480000</v>
      </c>
      <c r="F30" s="40">
        <f t="shared" si="18"/>
        <v>180000</v>
      </c>
      <c r="G30" s="40">
        <f t="shared" si="18"/>
        <v>180000</v>
      </c>
      <c r="H30" s="40">
        <f t="shared" si="18"/>
        <v>1230000</v>
      </c>
      <c r="I30" s="98"/>
      <c r="J30" s="60" t="s">
        <v>199</v>
      </c>
    </row>
    <row r="31" spans="1:11" s="1" customFormat="1">
      <c r="A31" s="9" t="s">
        <v>102</v>
      </c>
      <c r="B31" s="9"/>
      <c r="C31" s="31">
        <f>C138</f>
        <v>120000</v>
      </c>
      <c r="D31" s="31">
        <f t="shared" ref="D31:H32" si="19">D138</f>
        <v>100000</v>
      </c>
      <c r="E31" s="31">
        <f t="shared" si="19"/>
        <v>235000</v>
      </c>
      <c r="F31" s="31">
        <f t="shared" si="19"/>
        <v>140000</v>
      </c>
      <c r="G31" s="31">
        <f t="shared" si="19"/>
        <v>150000</v>
      </c>
      <c r="H31" s="31">
        <f t="shared" si="19"/>
        <v>745000</v>
      </c>
      <c r="I31" s="97">
        <f>H31/H35*100</f>
        <v>0.31470817188393346</v>
      </c>
    </row>
    <row r="32" spans="1:11" s="41" customFormat="1">
      <c r="A32" s="38">
        <v>1</v>
      </c>
      <c r="B32" s="39" t="s">
        <v>103</v>
      </c>
      <c r="C32" s="40">
        <f>C139</f>
        <v>50000</v>
      </c>
      <c r="D32" s="40">
        <f t="shared" si="19"/>
        <v>50000</v>
      </c>
      <c r="E32" s="40">
        <f t="shared" si="19"/>
        <v>40000</v>
      </c>
      <c r="F32" s="40">
        <f t="shared" si="19"/>
        <v>40000</v>
      </c>
      <c r="G32" s="40">
        <f t="shared" si="19"/>
        <v>40000</v>
      </c>
      <c r="H32" s="40">
        <f t="shared" si="19"/>
        <v>220000</v>
      </c>
      <c r="I32" s="98"/>
      <c r="J32" s="60" t="s">
        <v>201</v>
      </c>
      <c r="K32" s="41" t="s">
        <v>257</v>
      </c>
    </row>
    <row r="33" spans="1:17" s="41" customFormat="1">
      <c r="A33" s="38">
        <v>2</v>
      </c>
      <c r="B33" s="39" t="s">
        <v>106</v>
      </c>
      <c r="C33" s="40">
        <f>C142</f>
        <v>40000</v>
      </c>
      <c r="D33" s="40">
        <f t="shared" ref="D33:H33" si="20">D142</f>
        <v>0</v>
      </c>
      <c r="E33" s="40">
        <f t="shared" si="20"/>
        <v>145000</v>
      </c>
      <c r="F33" s="40">
        <f t="shared" si="20"/>
        <v>25000</v>
      </c>
      <c r="G33" s="40">
        <f t="shared" si="20"/>
        <v>60000</v>
      </c>
      <c r="H33" s="40">
        <f t="shared" si="20"/>
        <v>270000</v>
      </c>
      <c r="I33" s="98"/>
      <c r="J33" s="60" t="s">
        <v>201</v>
      </c>
      <c r="K33" s="41" t="s">
        <v>257</v>
      </c>
    </row>
    <row r="34" spans="1:17" s="41" customFormat="1">
      <c r="A34" s="38">
        <v>3</v>
      </c>
      <c r="B34" s="39" t="s">
        <v>126</v>
      </c>
      <c r="C34" s="40">
        <f>C154</f>
        <v>30000</v>
      </c>
      <c r="D34" s="40">
        <f t="shared" ref="D34:H34" si="21">D154</f>
        <v>50000</v>
      </c>
      <c r="E34" s="40">
        <f t="shared" si="21"/>
        <v>50000</v>
      </c>
      <c r="F34" s="40">
        <f t="shared" si="21"/>
        <v>75000</v>
      </c>
      <c r="G34" s="40">
        <f t="shared" si="21"/>
        <v>50000</v>
      </c>
      <c r="H34" s="40">
        <f t="shared" si="21"/>
        <v>255000</v>
      </c>
      <c r="I34" s="98"/>
      <c r="J34" s="60" t="s">
        <v>201</v>
      </c>
      <c r="K34" s="41" t="s">
        <v>257</v>
      </c>
    </row>
    <row r="35" spans="1:17" s="1" customFormat="1">
      <c r="A35" s="9" t="s">
        <v>154</v>
      </c>
      <c r="B35" s="9"/>
      <c r="C35" s="31">
        <f t="shared" ref="C35:H35" si="22">C31+C25+C18+C13+C5</f>
        <v>35845900</v>
      </c>
      <c r="D35" s="31">
        <f t="shared" si="22"/>
        <v>35354400</v>
      </c>
      <c r="E35" s="31">
        <f t="shared" si="22"/>
        <v>88958995</v>
      </c>
      <c r="F35" s="31">
        <f t="shared" si="22"/>
        <v>38599404.75</v>
      </c>
      <c r="G35" s="31">
        <f t="shared" si="22"/>
        <v>37968549.987499997</v>
      </c>
      <c r="H35" s="31">
        <f t="shared" si="22"/>
        <v>236727249.73750001</v>
      </c>
      <c r="I35" s="97"/>
    </row>
    <row r="36" spans="1:17" s="41" customFormat="1">
      <c r="A36" s="42"/>
      <c r="B36" s="43"/>
      <c r="C36" s="44"/>
      <c r="D36" s="44"/>
      <c r="E36" s="44"/>
      <c r="F36" s="44"/>
      <c r="G36" s="44"/>
      <c r="H36" s="44"/>
      <c r="I36" s="98"/>
      <c r="J36" s="60"/>
    </row>
    <row r="37" spans="1:17" s="41" customFormat="1">
      <c r="A37" s="42"/>
      <c r="B37" s="43"/>
      <c r="C37" s="44"/>
      <c r="D37" s="44"/>
      <c r="E37" s="44"/>
      <c r="F37" s="44"/>
      <c r="G37" s="44"/>
      <c r="H37" s="44"/>
      <c r="I37" s="98"/>
      <c r="J37" s="60"/>
    </row>
    <row r="38" spans="1:17" s="4" customFormat="1" ht="11.5">
      <c r="A38" s="36"/>
      <c r="C38" s="23"/>
      <c r="D38" s="23"/>
      <c r="E38" s="23"/>
      <c r="F38" s="23"/>
      <c r="G38" s="23"/>
      <c r="H38" s="23"/>
      <c r="I38" s="95"/>
    </row>
    <row r="39" spans="1:17" s="1" customFormat="1" ht="18.5">
      <c r="A39" s="37" t="s">
        <v>152</v>
      </c>
      <c r="C39" s="23"/>
      <c r="D39" s="23"/>
      <c r="E39" s="23"/>
      <c r="F39" s="23"/>
      <c r="G39" s="23"/>
      <c r="H39" s="23"/>
      <c r="I39" s="95"/>
    </row>
    <row r="40" spans="1:17" s="1" customFormat="1">
      <c r="A40" s="16" t="s">
        <v>0</v>
      </c>
      <c r="B40" s="2" t="s">
        <v>1</v>
      </c>
      <c r="C40" s="24" t="s">
        <v>2</v>
      </c>
      <c r="D40" s="24" t="s">
        <v>3</v>
      </c>
      <c r="E40" s="24" t="s">
        <v>4</v>
      </c>
      <c r="F40" s="24" t="s">
        <v>5</v>
      </c>
      <c r="G40" s="24" t="s">
        <v>6</v>
      </c>
      <c r="H40" s="24" t="s">
        <v>135</v>
      </c>
      <c r="I40" s="96" t="s">
        <v>7</v>
      </c>
      <c r="L40" s="22" t="s">
        <v>199</v>
      </c>
      <c r="M40" s="22" t="s">
        <v>250</v>
      </c>
      <c r="N40" s="22" t="s">
        <v>200</v>
      </c>
      <c r="O40" s="22" t="s">
        <v>201</v>
      </c>
    </row>
    <row r="41" spans="1:17" s="1" customFormat="1">
      <c r="A41" s="3" t="s">
        <v>30</v>
      </c>
      <c r="B41" s="3"/>
      <c r="C41" s="25">
        <f t="shared" ref="C41:H41" si="23">C42+C47+C54+C59+C61</f>
        <v>3567600</v>
      </c>
      <c r="D41" s="25">
        <f t="shared" si="23"/>
        <v>3476700</v>
      </c>
      <c r="E41" s="25">
        <f t="shared" si="23"/>
        <v>2484995</v>
      </c>
      <c r="F41" s="25">
        <f t="shared" si="23"/>
        <v>2493704.75</v>
      </c>
      <c r="G41" s="25">
        <f t="shared" si="23"/>
        <v>2002849.9875</v>
      </c>
      <c r="H41" s="25">
        <f t="shared" si="23"/>
        <v>14025849.737500001</v>
      </c>
      <c r="I41" s="97"/>
      <c r="L41" s="103">
        <f>E55+F55+G55+E56+F56+G56+E57+F57+G57</f>
        <v>2100000</v>
      </c>
      <c r="M41" s="103">
        <f>H42</f>
        <v>555000</v>
      </c>
      <c r="N41" s="103">
        <f>H69</f>
        <v>60000</v>
      </c>
      <c r="O41" s="26">
        <f>C54+D54</f>
        <v>1400000</v>
      </c>
      <c r="Q41" s="103">
        <f>L47+M51+N47+O53</f>
        <v>236727249.73750001</v>
      </c>
    </row>
    <row r="42" spans="1:17" s="21" customFormat="1">
      <c r="A42" s="17">
        <v>1</v>
      </c>
      <c r="B42" s="6" t="s">
        <v>8</v>
      </c>
      <c r="C42" s="32">
        <f>SUM(C43:C46)</f>
        <v>235000</v>
      </c>
      <c r="D42" s="32">
        <f>SUM(D43:D46)</f>
        <v>80000</v>
      </c>
      <c r="E42" s="32">
        <f>SUM(E43:E46)</f>
        <v>80000</v>
      </c>
      <c r="F42" s="32">
        <f>SUM(F43:F46)</f>
        <v>80000</v>
      </c>
      <c r="G42" s="32">
        <f>SUM(G43:G46)</f>
        <v>80000</v>
      </c>
      <c r="H42" s="32">
        <f>SUM(C42:G42)</f>
        <v>555000</v>
      </c>
      <c r="I42" s="99"/>
      <c r="J42" s="61"/>
      <c r="L42" s="105">
        <f>E59+F59+G59</f>
        <v>2500000</v>
      </c>
      <c r="M42" s="105">
        <f>H49</f>
        <v>1673049.7375</v>
      </c>
      <c r="N42" s="61">
        <v>1000000</v>
      </c>
      <c r="O42" s="105">
        <f>H48</f>
        <v>1852800</v>
      </c>
    </row>
    <row r="43" spans="1:17">
      <c r="A43" s="15">
        <v>1.1000000000000001</v>
      </c>
      <c r="B43" s="8" t="s">
        <v>193</v>
      </c>
      <c r="C43" s="27">
        <f>'JCC &amp; PMU Set-up'!C1</f>
        <v>155000</v>
      </c>
      <c r="D43" s="27">
        <f>'JCC &amp; PMU Set-up'!D1</f>
        <v>0</v>
      </c>
      <c r="E43" s="27">
        <f>'JCC &amp; PMU Set-up'!E1</f>
        <v>0</v>
      </c>
      <c r="F43" s="27">
        <f>'JCC &amp; PMU Set-up'!F1</f>
        <v>0</v>
      </c>
      <c r="G43" s="27">
        <f>'JCC &amp; PMU Set-up'!G1</f>
        <v>0</v>
      </c>
      <c r="H43" s="26">
        <f>SUM(C43:G43)</f>
        <v>155000</v>
      </c>
      <c r="I43" s="95" t="s">
        <v>194</v>
      </c>
      <c r="J43" s="61" t="s">
        <v>250</v>
      </c>
      <c r="L43" s="59">
        <f>E79+F79+G79</f>
        <v>1520400</v>
      </c>
      <c r="M43" s="59">
        <f>H70</f>
        <v>60000</v>
      </c>
      <c r="N43" s="59">
        <f>H89</f>
        <v>100000</v>
      </c>
      <c r="O43" s="59">
        <f>C59+D59</f>
        <v>3000000</v>
      </c>
    </row>
    <row r="44" spans="1:17" ht="24">
      <c r="A44" s="15">
        <v>1.2</v>
      </c>
      <c r="B44" s="8" t="s">
        <v>9</v>
      </c>
      <c r="C44" s="27">
        <f>5000*4</f>
        <v>20000</v>
      </c>
      <c r="D44" s="27">
        <f>C44</f>
        <v>20000</v>
      </c>
      <c r="E44" s="27">
        <f>D44</f>
        <v>20000</v>
      </c>
      <c r="F44" s="27">
        <f>E44</f>
        <v>20000</v>
      </c>
      <c r="G44" s="27">
        <f>F44</f>
        <v>20000</v>
      </c>
      <c r="H44" s="26">
        <f>SUM(C44:G44)</f>
        <v>100000</v>
      </c>
      <c r="I44" s="95" t="s">
        <v>157</v>
      </c>
      <c r="J44" s="61" t="s">
        <v>250</v>
      </c>
      <c r="L44" s="59">
        <f>H106</f>
        <v>27500000</v>
      </c>
      <c r="M44" s="108">
        <v>200000</v>
      </c>
      <c r="N44" s="59">
        <f>H94</f>
        <v>150000</v>
      </c>
      <c r="O44" s="59">
        <f>H61</f>
        <v>945000</v>
      </c>
    </row>
    <row r="45" spans="1:17" ht="24">
      <c r="A45" s="15">
        <v>1.3</v>
      </c>
      <c r="B45" s="7" t="s">
        <v>10</v>
      </c>
      <c r="C45" s="28">
        <v>50000</v>
      </c>
      <c r="D45" s="28">
        <v>50000</v>
      </c>
      <c r="E45" s="28">
        <v>50000</v>
      </c>
      <c r="F45" s="28">
        <v>50000</v>
      </c>
      <c r="G45" s="28">
        <v>50000</v>
      </c>
      <c r="H45" s="26">
        <f t="shared" ref="H45:H46" si="24">SUM(C45:G45)</f>
        <v>250000</v>
      </c>
      <c r="I45" s="95" t="s">
        <v>156</v>
      </c>
      <c r="J45" s="61" t="s">
        <v>250</v>
      </c>
      <c r="L45" s="59">
        <f>H118</f>
        <v>15200000</v>
      </c>
      <c r="M45" s="59">
        <f>H81</f>
        <v>480000</v>
      </c>
      <c r="N45">
        <v>70000000</v>
      </c>
      <c r="O45" s="59">
        <f>H74+H75+H76</f>
        <v>408000</v>
      </c>
    </row>
    <row r="46" spans="1:17">
      <c r="A46" s="15">
        <v>1.5</v>
      </c>
      <c r="B46" s="7" t="s">
        <v>11</v>
      </c>
      <c r="C46" s="27">
        <v>10000</v>
      </c>
      <c r="D46" s="27">
        <v>10000</v>
      </c>
      <c r="E46" s="27">
        <v>10000</v>
      </c>
      <c r="F46" s="27">
        <v>10000</v>
      </c>
      <c r="G46" s="27">
        <v>10000</v>
      </c>
      <c r="H46" s="26">
        <f t="shared" si="24"/>
        <v>50000</v>
      </c>
      <c r="I46" s="95" t="s">
        <v>134</v>
      </c>
      <c r="J46" s="61" t="s">
        <v>250</v>
      </c>
      <c r="L46" s="59">
        <f>H135+H136+H137</f>
        <v>1170000</v>
      </c>
      <c r="M46" s="59">
        <f>H90</f>
        <v>80000</v>
      </c>
      <c r="N46" s="59">
        <f>H113</f>
        <v>50050000</v>
      </c>
      <c r="O46" s="59">
        <f>H78+H80</f>
        <v>900000</v>
      </c>
    </row>
    <row r="47" spans="1:17" s="21" customFormat="1">
      <c r="A47" s="17">
        <v>2</v>
      </c>
      <c r="B47" s="6" t="s">
        <v>12</v>
      </c>
      <c r="C47" s="32">
        <f>SUM(C48:C53)</f>
        <v>1167600</v>
      </c>
      <c r="D47" s="32">
        <f>SUM(D48:D53)</f>
        <v>576700</v>
      </c>
      <c r="E47" s="32">
        <f>SUM(E48:E53)</f>
        <v>584995</v>
      </c>
      <c r="F47" s="32">
        <f>SUM(F48:F53)</f>
        <v>593704.75</v>
      </c>
      <c r="G47" s="32">
        <f>SUM(G48:G53)</f>
        <v>602849.98750000005</v>
      </c>
      <c r="H47" s="32">
        <f>SUM(C47:G47)</f>
        <v>3525849.7374999998</v>
      </c>
      <c r="I47" s="106"/>
      <c r="J47" s="61"/>
      <c r="L47" s="104">
        <f>SUM(L41:L46)</f>
        <v>49990400</v>
      </c>
      <c r="M47" s="61">
        <v>50000000</v>
      </c>
      <c r="N47" s="104">
        <f>SUM(N41:N46)</f>
        <v>121360000</v>
      </c>
      <c r="O47" s="105">
        <f>C79+D79</f>
        <v>1218000</v>
      </c>
      <c r="Q47" s="104">
        <f>50000000-L47</f>
        <v>9600</v>
      </c>
    </row>
    <row r="48" spans="1:17" ht="23">
      <c r="A48" s="15">
        <v>2.1</v>
      </c>
      <c r="B48" s="8" t="s">
        <v>13</v>
      </c>
      <c r="C48" s="27">
        <f>'JCC &amp; PMU Set-up'!C7+'JCC &amp; PMU Set-up'!C13</f>
        <v>849600</v>
      </c>
      <c r="D48" s="27">
        <f>'JCC &amp; PMU Set-up'!D7+'JCC &amp; PMU Set-up'!D13</f>
        <v>250800</v>
      </c>
      <c r="E48" s="27">
        <f>'JCC &amp; PMU Set-up'!E7+'JCC &amp; PMU Set-up'!E13</f>
        <v>250800</v>
      </c>
      <c r="F48" s="27">
        <f>'JCC &amp; PMU Set-up'!F7+'JCC &amp; PMU Set-up'!F13</f>
        <v>250800</v>
      </c>
      <c r="G48" s="27">
        <f>'JCC &amp; PMU Set-up'!G7+'JCC &amp; PMU Set-up'!G13</f>
        <v>250800</v>
      </c>
      <c r="H48" s="26">
        <f t="shared" ref="H48:H104" si="25">SUM(C48:G48)</f>
        <v>1852800</v>
      </c>
      <c r="J48" s="61" t="s">
        <v>201</v>
      </c>
      <c r="L48">
        <f>L47/Q41*100</f>
        <v>21.117298517780654</v>
      </c>
      <c r="M48" s="59">
        <f>H111</f>
        <v>250000</v>
      </c>
      <c r="N48">
        <f>N47/Q41*100</f>
        <v>51.265749986354592</v>
      </c>
      <c r="O48" s="59">
        <f>H82</f>
        <v>1100000</v>
      </c>
    </row>
    <row r="49" spans="1:16" ht="35.5">
      <c r="A49" s="15">
        <v>2.2000000000000002</v>
      </c>
      <c r="B49" s="8" t="s">
        <v>14</v>
      </c>
      <c r="C49" s="27">
        <f>'JCC &amp; PMU Set-up'!C18</f>
        <v>318000</v>
      </c>
      <c r="D49" s="27">
        <f>'JCC &amp; PMU Set-up'!D18</f>
        <v>325900</v>
      </c>
      <c r="E49" s="27">
        <f>'JCC &amp; PMU Set-up'!E18</f>
        <v>334195</v>
      </c>
      <c r="F49" s="27">
        <f>'JCC &amp; PMU Set-up'!F18</f>
        <v>342904.75</v>
      </c>
      <c r="G49" s="27">
        <f>'JCC &amp; PMU Set-up'!G18</f>
        <v>352049.98749999999</v>
      </c>
      <c r="H49" s="26">
        <f t="shared" si="25"/>
        <v>1673049.7375</v>
      </c>
      <c r="I49" s="95" t="s">
        <v>150</v>
      </c>
      <c r="J49" s="61" t="s">
        <v>250</v>
      </c>
      <c r="M49" s="59">
        <f>H131</f>
        <v>200000</v>
      </c>
      <c r="O49" s="59">
        <f>H124</f>
        <v>160000</v>
      </c>
    </row>
    <row r="50" spans="1:16">
      <c r="A50" s="15">
        <v>2.2999999999999998</v>
      </c>
      <c r="B50" s="8" t="s">
        <v>15</v>
      </c>
      <c r="C50" s="29" t="s">
        <v>136</v>
      </c>
      <c r="D50" s="29" t="s">
        <v>136</v>
      </c>
      <c r="E50" s="29" t="s">
        <v>136</v>
      </c>
      <c r="F50" s="29" t="s">
        <v>136</v>
      </c>
      <c r="G50" s="29" t="s">
        <v>136</v>
      </c>
      <c r="H50" s="26">
        <f t="shared" si="25"/>
        <v>0</v>
      </c>
      <c r="I50" s="95" t="s">
        <v>134</v>
      </c>
      <c r="M50" s="59">
        <f>H140+H144+H149+H152</f>
        <v>160000</v>
      </c>
      <c r="O50" s="59">
        <f>H129+H130</f>
        <v>90000</v>
      </c>
    </row>
    <row r="51" spans="1:16" ht="23">
      <c r="A51" s="15">
        <v>2.4</v>
      </c>
      <c r="B51" s="8" t="s">
        <v>16</v>
      </c>
      <c r="C51" s="29" t="s">
        <v>136</v>
      </c>
      <c r="D51" s="29" t="s">
        <v>136</v>
      </c>
      <c r="E51" s="29" t="s">
        <v>136</v>
      </c>
      <c r="F51" s="29" t="s">
        <v>136</v>
      </c>
      <c r="G51" s="29" t="s">
        <v>136</v>
      </c>
      <c r="H51" s="26">
        <f t="shared" si="25"/>
        <v>0</v>
      </c>
      <c r="I51" s="95" t="s">
        <v>134</v>
      </c>
      <c r="M51" s="104">
        <f>SUM(M41:M50)</f>
        <v>53658049.737499997</v>
      </c>
      <c r="O51" s="59">
        <f>H134+H133</f>
        <v>60000</v>
      </c>
    </row>
    <row r="52" spans="1:16">
      <c r="A52" s="15">
        <v>2.5</v>
      </c>
      <c r="B52" s="8" t="s">
        <v>17</v>
      </c>
      <c r="C52" s="29" t="s">
        <v>136</v>
      </c>
      <c r="D52" s="29" t="s">
        <v>136</v>
      </c>
      <c r="E52" s="29" t="s">
        <v>136</v>
      </c>
      <c r="F52" s="29" t="s">
        <v>136</v>
      </c>
      <c r="G52" s="29" t="s">
        <v>136</v>
      </c>
      <c r="H52" s="26">
        <f t="shared" si="25"/>
        <v>0</v>
      </c>
      <c r="M52">
        <f>M51/Q41*100</f>
        <v>22.666613073484296</v>
      </c>
      <c r="O52" s="59">
        <f>H141+H145+H146+H148+H150+H153+H154</f>
        <v>585000</v>
      </c>
    </row>
    <row r="53" spans="1:16">
      <c r="A53" s="15">
        <v>2.6</v>
      </c>
      <c r="B53" s="7" t="s">
        <v>18</v>
      </c>
      <c r="C53" s="29" t="s">
        <v>136</v>
      </c>
      <c r="D53" s="29" t="s">
        <v>136</v>
      </c>
      <c r="E53" s="29" t="s">
        <v>136</v>
      </c>
      <c r="F53" s="29" t="s">
        <v>136</v>
      </c>
      <c r="G53" s="29" t="s">
        <v>136</v>
      </c>
      <c r="H53" s="26">
        <f t="shared" si="25"/>
        <v>0</v>
      </c>
      <c r="O53" s="104">
        <f>SUM(O41:O52)</f>
        <v>11718800</v>
      </c>
    </row>
    <row r="54" spans="1:16" s="21" customFormat="1">
      <c r="A54" s="17">
        <v>3</v>
      </c>
      <c r="B54" s="6" t="s">
        <v>263</v>
      </c>
      <c r="C54" s="32">
        <f>SUM(C55:C57)</f>
        <v>700000</v>
      </c>
      <c r="D54" s="32">
        <f>C54</f>
        <v>700000</v>
      </c>
      <c r="E54" s="32">
        <f>D54</f>
        <v>700000</v>
      </c>
      <c r="F54" s="32">
        <f>E54</f>
        <v>700000</v>
      </c>
      <c r="G54" s="32">
        <f>F54</f>
        <v>700000</v>
      </c>
      <c r="H54" s="32">
        <f t="shared" si="25"/>
        <v>3500000</v>
      </c>
      <c r="I54" s="100"/>
      <c r="J54" s="61" t="s">
        <v>262</v>
      </c>
      <c r="O54" s="21">
        <f>O53/Q41*100</f>
        <v>4.9503384223804554</v>
      </c>
      <c r="P54" s="21">
        <f>L48+M52+N48+O54</f>
        <v>100</v>
      </c>
    </row>
    <row r="55" spans="1:16">
      <c r="A55" s="15">
        <v>3.1</v>
      </c>
      <c r="B55" s="7" t="s">
        <v>20</v>
      </c>
      <c r="C55" s="29">
        <f>250000</f>
        <v>250000</v>
      </c>
      <c r="D55" s="29">
        <f>C55</f>
        <v>250000</v>
      </c>
      <c r="E55" s="29">
        <f>C55</f>
        <v>250000</v>
      </c>
      <c r="F55" s="29">
        <f>C55</f>
        <v>250000</v>
      </c>
      <c r="G55" s="29">
        <f>C55</f>
        <v>250000</v>
      </c>
      <c r="H55" s="26">
        <f t="shared" si="25"/>
        <v>1250000</v>
      </c>
      <c r="J55" s="61" t="s">
        <v>262</v>
      </c>
    </row>
    <row r="56" spans="1:16">
      <c r="A56" s="15">
        <v>3.2</v>
      </c>
      <c r="B56" s="7" t="s">
        <v>266</v>
      </c>
      <c r="C56" s="29">
        <f>250000</f>
        <v>250000</v>
      </c>
      <c r="D56" s="29">
        <f>C56</f>
        <v>250000</v>
      </c>
      <c r="E56" s="29">
        <f>C56</f>
        <v>250000</v>
      </c>
      <c r="F56" s="29">
        <f>C56</f>
        <v>250000</v>
      </c>
      <c r="G56" s="29">
        <f>D56</f>
        <v>250000</v>
      </c>
      <c r="H56" s="26">
        <f t="shared" si="25"/>
        <v>1250000</v>
      </c>
      <c r="J56" s="61" t="s">
        <v>262</v>
      </c>
    </row>
    <row r="57" spans="1:16" ht="23">
      <c r="A57" s="15">
        <v>3.3</v>
      </c>
      <c r="B57" s="8" t="s">
        <v>265</v>
      </c>
      <c r="C57" s="29">
        <f>200000</f>
        <v>200000</v>
      </c>
      <c r="D57" s="29">
        <f t="shared" ref="D57:G57" si="26">200000</f>
        <v>200000</v>
      </c>
      <c r="E57" s="29">
        <f t="shared" si="26"/>
        <v>200000</v>
      </c>
      <c r="F57" s="29">
        <f t="shared" si="26"/>
        <v>200000</v>
      </c>
      <c r="G57" s="29">
        <f t="shared" si="26"/>
        <v>200000</v>
      </c>
      <c r="H57" s="26">
        <f t="shared" si="25"/>
        <v>1000000</v>
      </c>
      <c r="J57" s="61" t="s">
        <v>262</v>
      </c>
    </row>
    <row r="58" spans="1:16">
      <c r="A58" s="15">
        <v>3.4</v>
      </c>
      <c r="B58" s="7" t="s">
        <v>21</v>
      </c>
      <c r="C58" s="29" t="s">
        <v>136</v>
      </c>
      <c r="D58" s="29" t="s">
        <v>136</v>
      </c>
      <c r="E58" s="29" t="s">
        <v>136</v>
      </c>
      <c r="F58" s="29" t="s">
        <v>136</v>
      </c>
      <c r="G58" s="29" t="s">
        <v>136</v>
      </c>
      <c r="H58" s="26">
        <f t="shared" si="25"/>
        <v>0</v>
      </c>
    </row>
    <row r="59" spans="1:16" s="21" customFormat="1">
      <c r="A59" s="17">
        <v>4</v>
      </c>
      <c r="B59" s="6" t="s">
        <v>22</v>
      </c>
      <c r="C59" s="32">
        <f>C60</f>
        <v>1000000</v>
      </c>
      <c r="D59" s="32">
        <f>D60</f>
        <v>2000000</v>
      </c>
      <c r="E59" s="32">
        <f>E60</f>
        <v>1000000</v>
      </c>
      <c r="F59" s="32">
        <f>F60</f>
        <v>1000000</v>
      </c>
      <c r="G59" s="32">
        <f>G60</f>
        <v>500000</v>
      </c>
      <c r="H59" s="32">
        <f t="shared" si="25"/>
        <v>5500000</v>
      </c>
      <c r="I59" s="100"/>
      <c r="J59" s="61"/>
    </row>
    <row r="60" spans="1:16">
      <c r="A60" s="15">
        <v>4.0999999999999996</v>
      </c>
      <c r="B60" s="7" t="s">
        <v>23</v>
      </c>
      <c r="C60" s="27">
        <v>1000000</v>
      </c>
      <c r="D60" s="27">
        <v>2000000</v>
      </c>
      <c r="E60" s="27">
        <f>1000000</f>
        <v>1000000</v>
      </c>
      <c r="F60" s="27">
        <f>E60</f>
        <v>1000000</v>
      </c>
      <c r="G60" s="27">
        <v>500000</v>
      </c>
      <c r="H60" s="26">
        <f t="shared" si="25"/>
        <v>5500000</v>
      </c>
      <c r="J60" s="61" t="s">
        <v>262</v>
      </c>
    </row>
    <row r="61" spans="1:16" s="21" customFormat="1">
      <c r="A61" s="17">
        <v>5</v>
      </c>
      <c r="B61" s="6" t="s">
        <v>24</v>
      </c>
      <c r="C61" s="32">
        <f>SUM(C62:C66)</f>
        <v>465000</v>
      </c>
      <c r="D61" s="32">
        <f>SUM(D62:D66)</f>
        <v>120000</v>
      </c>
      <c r="E61" s="32">
        <f>SUM(E62:E66)</f>
        <v>120000</v>
      </c>
      <c r="F61" s="32">
        <f>SUM(F62:F66)</f>
        <v>120000</v>
      </c>
      <c r="G61" s="32">
        <f>SUM(G62:G66)</f>
        <v>120000</v>
      </c>
      <c r="H61" s="32">
        <f t="shared" si="25"/>
        <v>945000</v>
      </c>
      <c r="I61" s="100"/>
      <c r="J61" s="61"/>
    </row>
    <row r="62" spans="1:16" ht="35.5">
      <c r="A62" s="15">
        <v>5.0999999999999996</v>
      </c>
      <c r="B62" s="8" t="s">
        <v>25</v>
      </c>
      <c r="C62" s="27">
        <f>200*100*6</f>
        <v>120000</v>
      </c>
      <c r="D62" s="27">
        <f>C62</f>
        <v>120000</v>
      </c>
      <c r="E62" s="27">
        <f>C62</f>
        <v>120000</v>
      </c>
      <c r="F62" s="27">
        <f>C62</f>
        <v>120000</v>
      </c>
      <c r="G62" s="27">
        <f>C62</f>
        <v>120000</v>
      </c>
      <c r="H62" s="26">
        <f t="shared" si="25"/>
        <v>600000</v>
      </c>
      <c r="I62" s="101" t="s">
        <v>158</v>
      </c>
      <c r="J62" s="61" t="s">
        <v>201</v>
      </c>
    </row>
    <row r="63" spans="1:16" ht="35.5">
      <c r="A63" s="15">
        <v>5.2</v>
      </c>
      <c r="B63" s="8" t="s">
        <v>26</v>
      </c>
      <c r="C63" s="27">
        <f>15*2500*6</f>
        <v>225000</v>
      </c>
      <c r="D63" s="27"/>
      <c r="E63" s="27"/>
      <c r="F63" s="27"/>
      <c r="G63" s="27"/>
      <c r="H63" s="26">
        <f t="shared" si="25"/>
        <v>225000</v>
      </c>
      <c r="I63" s="95" t="s">
        <v>159</v>
      </c>
      <c r="J63" s="61" t="s">
        <v>201</v>
      </c>
    </row>
    <row r="64" spans="1:16">
      <c r="A64" s="15">
        <v>5.3</v>
      </c>
      <c r="B64" s="7" t="s">
        <v>27</v>
      </c>
      <c r="C64" s="27">
        <f>20000*6</f>
        <v>120000</v>
      </c>
      <c r="D64" s="27"/>
      <c r="E64" s="27"/>
      <c r="F64" s="27"/>
      <c r="G64" s="27"/>
      <c r="H64" s="26">
        <f t="shared" si="25"/>
        <v>120000</v>
      </c>
      <c r="I64" s="95" t="s">
        <v>160</v>
      </c>
      <c r="J64" s="61" t="s">
        <v>201</v>
      </c>
    </row>
    <row r="65" spans="1:10">
      <c r="A65" s="15">
        <v>5.4</v>
      </c>
      <c r="B65" s="5" t="s">
        <v>28</v>
      </c>
      <c r="C65" s="45" t="s">
        <v>136</v>
      </c>
      <c r="D65" s="45" t="s">
        <v>136</v>
      </c>
      <c r="E65" s="45" t="s">
        <v>136</v>
      </c>
      <c r="F65" s="45" t="s">
        <v>136</v>
      </c>
      <c r="G65" s="45" t="s">
        <v>136</v>
      </c>
      <c r="H65" s="26">
        <f t="shared" si="25"/>
        <v>0</v>
      </c>
    </row>
    <row r="66" spans="1:10">
      <c r="A66" s="15">
        <v>5.5</v>
      </c>
      <c r="B66" s="7" t="s">
        <v>29</v>
      </c>
      <c r="C66" s="45" t="s">
        <v>136</v>
      </c>
      <c r="D66" s="45" t="s">
        <v>136</v>
      </c>
      <c r="E66" s="45" t="s">
        <v>136</v>
      </c>
      <c r="F66" s="45" t="s">
        <v>136</v>
      </c>
      <c r="G66" s="45" t="s">
        <v>136</v>
      </c>
      <c r="H66" s="26">
        <f t="shared" si="25"/>
        <v>0</v>
      </c>
      <c r="I66" s="95" t="s">
        <v>134</v>
      </c>
    </row>
    <row r="67" spans="1:10" s="22" customFormat="1">
      <c r="A67" s="9" t="s">
        <v>31</v>
      </c>
      <c r="B67" s="9"/>
      <c r="C67" s="31">
        <f>C68+C71+C77+C82</f>
        <v>2098300</v>
      </c>
      <c r="D67" s="31">
        <f>D68+D71+D77+D82</f>
        <v>1687700</v>
      </c>
      <c r="E67" s="31">
        <f>E68+E71+E77+E82</f>
        <v>1079000</v>
      </c>
      <c r="F67" s="31">
        <f>F68+F71+F77+F82</f>
        <v>1115700</v>
      </c>
      <c r="G67" s="31">
        <f>G68+G71+G77+G82</f>
        <v>965700</v>
      </c>
      <c r="H67" s="31">
        <f>SUM(C67:G67)</f>
        <v>6946400</v>
      </c>
      <c r="I67" s="97"/>
      <c r="J67" s="1"/>
    </row>
    <row r="68" spans="1:10" s="21" customFormat="1">
      <c r="A68" s="17">
        <v>1</v>
      </c>
      <c r="B68" s="6" t="s">
        <v>32</v>
      </c>
      <c r="C68" s="32">
        <f>C69+C70</f>
        <v>60000</v>
      </c>
      <c r="D68" s="32">
        <f>D69+D70</f>
        <v>0</v>
      </c>
      <c r="E68" s="32">
        <f>E69+E70</f>
        <v>60000</v>
      </c>
      <c r="F68" s="32">
        <f>F69+F70</f>
        <v>0</v>
      </c>
      <c r="G68" s="32">
        <f>G69+G70</f>
        <v>0</v>
      </c>
      <c r="H68" s="32">
        <f t="shared" si="25"/>
        <v>120000</v>
      </c>
      <c r="I68" s="100"/>
      <c r="J68" s="61"/>
    </row>
    <row r="69" spans="1:10">
      <c r="A69" s="15">
        <v>1.1000000000000001</v>
      </c>
      <c r="B69" s="10" t="s">
        <v>33</v>
      </c>
      <c r="C69" s="27">
        <f>10000*6</f>
        <v>60000</v>
      </c>
      <c r="D69" s="27"/>
      <c r="E69" s="27"/>
      <c r="F69" s="27"/>
      <c r="G69" s="27"/>
      <c r="H69" s="26">
        <f t="shared" si="25"/>
        <v>60000</v>
      </c>
      <c r="I69" s="95" t="s">
        <v>161</v>
      </c>
      <c r="J69" s="61" t="s">
        <v>200</v>
      </c>
    </row>
    <row r="70" spans="1:10">
      <c r="A70" s="15">
        <v>1.2</v>
      </c>
      <c r="B70" s="10" t="s">
        <v>34</v>
      </c>
      <c r="C70" s="27"/>
      <c r="D70" s="27"/>
      <c r="E70" s="27">
        <v>60000</v>
      </c>
      <c r="F70" s="27"/>
      <c r="G70" s="27"/>
      <c r="H70" s="26">
        <f t="shared" si="25"/>
        <v>60000</v>
      </c>
      <c r="J70" s="61" t="s">
        <v>250</v>
      </c>
    </row>
    <row r="71" spans="1:10" s="21" customFormat="1">
      <c r="A71" s="17">
        <v>2</v>
      </c>
      <c r="B71" s="6" t="s">
        <v>35</v>
      </c>
      <c r="C71" s="32">
        <f>SUM(C72:C76)</f>
        <v>936000</v>
      </c>
      <c r="D71" s="32">
        <f>SUM(D72:D76)</f>
        <v>672000</v>
      </c>
      <c r="E71" s="32">
        <f>SUM(E72:E76)</f>
        <v>0</v>
      </c>
      <c r="F71" s="32">
        <f>SUM(F72:F76)</f>
        <v>0</v>
      </c>
      <c r="G71" s="32">
        <f>SUM(G72:G76)</f>
        <v>0</v>
      </c>
      <c r="H71" s="32">
        <f t="shared" si="25"/>
        <v>1608000</v>
      </c>
      <c r="I71" s="106"/>
      <c r="J71" s="61"/>
    </row>
    <row r="72" spans="1:10" ht="35.5">
      <c r="A72" s="15">
        <v>2.1</v>
      </c>
      <c r="B72" s="7" t="s">
        <v>36</v>
      </c>
      <c r="C72" s="27">
        <f>200000*6*0.6</f>
        <v>720000</v>
      </c>
      <c r="D72" s="27">
        <f>200000*6*0.4</f>
        <v>480000</v>
      </c>
      <c r="E72" s="27"/>
      <c r="F72" s="27"/>
      <c r="G72" s="27"/>
      <c r="H72" s="26">
        <f t="shared" si="25"/>
        <v>1200000</v>
      </c>
      <c r="I72" s="95" t="s">
        <v>162</v>
      </c>
      <c r="J72" s="61" t="s">
        <v>260</v>
      </c>
    </row>
    <row r="73" spans="1:10">
      <c r="A73" s="15">
        <v>2.2000000000000002</v>
      </c>
      <c r="B73" s="7" t="s">
        <v>37</v>
      </c>
      <c r="C73" s="29" t="s">
        <v>136</v>
      </c>
      <c r="D73" s="29" t="s">
        <v>136</v>
      </c>
      <c r="E73" s="29" t="s">
        <v>136</v>
      </c>
      <c r="F73" s="29" t="s">
        <v>136</v>
      </c>
      <c r="G73" s="29" t="s">
        <v>136</v>
      </c>
      <c r="H73" s="26">
        <f t="shared" si="25"/>
        <v>0</v>
      </c>
    </row>
    <row r="74" spans="1:10" ht="35.5">
      <c r="A74" s="15">
        <v>2.2999999999999998</v>
      </c>
      <c r="B74" s="8" t="s">
        <v>38</v>
      </c>
      <c r="C74" s="27">
        <f>20000*6*0.6</f>
        <v>72000</v>
      </c>
      <c r="D74" s="27">
        <f>20000*6*0.4</f>
        <v>48000</v>
      </c>
      <c r="E74" s="27"/>
      <c r="F74" s="27"/>
      <c r="G74" s="27"/>
      <c r="H74" s="26">
        <f t="shared" si="25"/>
        <v>120000</v>
      </c>
      <c r="I74" s="95" t="s">
        <v>163</v>
      </c>
      <c r="J74" s="61" t="s">
        <v>201</v>
      </c>
    </row>
    <row r="75" spans="1:10" ht="24">
      <c r="A75" s="15">
        <v>2.4</v>
      </c>
      <c r="B75" s="8" t="s">
        <v>39</v>
      </c>
      <c r="C75" s="27">
        <f>20000*6</f>
        <v>120000</v>
      </c>
      <c r="D75" s="27">
        <f>20000*6</f>
        <v>120000</v>
      </c>
      <c r="E75" s="27"/>
      <c r="F75" s="27"/>
      <c r="G75" s="27"/>
      <c r="H75" s="26">
        <f t="shared" si="25"/>
        <v>240000</v>
      </c>
      <c r="I75" s="95" t="s">
        <v>166</v>
      </c>
      <c r="J75" s="61" t="s">
        <v>201</v>
      </c>
    </row>
    <row r="76" spans="1:10" ht="24">
      <c r="A76" s="15">
        <v>2.5</v>
      </c>
      <c r="B76" s="8" t="s">
        <v>40</v>
      </c>
      <c r="C76" s="27">
        <f>2*2000*6</f>
        <v>24000</v>
      </c>
      <c r="D76" s="27">
        <f>C76</f>
        <v>24000</v>
      </c>
      <c r="E76" s="27"/>
      <c r="F76" s="27"/>
      <c r="G76" s="27"/>
      <c r="H76" s="26">
        <f t="shared" si="25"/>
        <v>48000</v>
      </c>
      <c r="I76" s="95" t="s">
        <v>165</v>
      </c>
      <c r="J76" s="61" t="s">
        <v>201</v>
      </c>
    </row>
    <row r="77" spans="1:10" s="21" customFormat="1">
      <c r="A77" s="17">
        <v>3</v>
      </c>
      <c r="B77" s="6" t="s">
        <v>41</v>
      </c>
      <c r="C77" s="32">
        <f>SUM(C78:C81)</f>
        <v>1002300</v>
      </c>
      <c r="D77" s="32">
        <f>SUM(D78:D81)</f>
        <v>815700</v>
      </c>
      <c r="E77" s="32">
        <f>SUM(E78:E81)</f>
        <v>819000</v>
      </c>
      <c r="F77" s="32">
        <f>SUM(F78:F81)</f>
        <v>815700</v>
      </c>
      <c r="G77" s="32">
        <f>SUM(G78:G81)</f>
        <v>665700</v>
      </c>
      <c r="H77" s="32">
        <f t="shared" si="25"/>
        <v>4118400</v>
      </c>
      <c r="I77" s="106"/>
      <c r="J77" s="61"/>
    </row>
    <row r="78" spans="1:10" ht="24">
      <c r="A78" s="18">
        <v>3.1</v>
      </c>
      <c r="B78" s="12" t="s">
        <v>42</v>
      </c>
      <c r="C78" s="27">
        <f>25000*6</f>
        <v>150000</v>
      </c>
      <c r="D78" s="27">
        <f>25000*6</f>
        <v>150000</v>
      </c>
      <c r="E78" s="27"/>
      <c r="F78" s="27">
        <f>25000*6</f>
        <v>150000</v>
      </c>
      <c r="G78" s="27"/>
      <c r="H78" s="26">
        <f t="shared" si="25"/>
        <v>450000</v>
      </c>
      <c r="I78" s="95" t="s">
        <v>164</v>
      </c>
      <c r="J78" s="61" t="s">
        <v>201</v>
      </c>
    </row>
    <row r="79" spans="1:10" ht="23">
      <c r="A79" s="18">
        <v>3.2</v>
      </c>
      <c r="B79" s="12" t="s">
        <v>43</v>
      </c>
      <c r="C79" s="27">
        <f>'HIA Patrol'!E25+'HIA Patrol'!E28</f>
        <v>762300</v>
      </c>
      <c r="D79" s="27">
        <f>'HIA Patrol'!E28</f>
        <v>455700</v>
      </c>
      <c r="E79" s="27">
        <f>D79+'HIA Patrol'!E25/2</f>
        <v>609000</v>
      </c>
      <c r="F79" s="27">
        <f>D79</f>
        <v>455700</v>
      </c>
      <c r="G79" s="27">
        <f>F79</f>
        <v>455700</v>
      </c>
      <c r="H79" s="26">
        <f t="shared" si="25"/>
        <v>2738400</v>
      </c>
      <c r="I79" s="95" t="s">
        <v>192</v>
      </c>
      <c r="J79" s="61" t="s">
        <v>262</v>
      </c>
    </row>
    <row r="80" spans="1:10" ht="23">
      <c r="A80" s="18">
        <v>3.3</v>
      </c>
      <c r="B80" s="12" t="s">
        <v>44</v>
      </c>
      <c r="C80" s="27">
        <f>15000*6</f>
        <v>90000</v>
      </c>
      <c r="D80" s="27">
        <f t="shared" ref="D80:G80" si="27">C80</f>
        <v>90000</v>
      </c>
      <c r="E80" s="27">
        <f t="shared" si="27"/>
        <v>90000</v>
      </c>
      <c r="F80" s="27">
        <f t="shared" si="27"/>
        <v>90000</v>
      </c>
      <c r="G80" s="27">
        <f t="shared" si="27"/>
        <v>90000</v>
      </c>
      <c r="H80" s="26">
        <f t="shared" si="25"/>
        <v>450000</v>
      </c>
      <c r="I80" s="95" t="s">
        <v>134</v>
      </c>
      <c r="J80" s="61" t="s">
        <v>201</v>
      </c>
    </row>
    <row r="81" spans="1:11">
      <c r="A81" s="18">
        <v>3.4</v>
      </c>
      <c r="B81" s="12" t="s">
        <v>45</v>
      </c>
      <c r="C81" s="46"/>
      <c r="D81" s="46">
        <f>20000*6</f>
        <v>120000</v>
      </c>
      <c r="E81" s="46">
        <f>D81:D82</f>
        <v>120000</v>
      </c>
      <c r="F81" s="46">
        <f>D81</f>
        <v>120000</v>
      </c>
      <c r="G81" s="46">
        <f>F81</f>
        <v>120000</v>
      </c>
      <c r="H81" s="26">
        <f t="shared" si="25"/>
        <v>480000</v>
      </c>
      <c r="J81" s="61" t="s">
        <v>250</v>
      </c>
    </row>
    <row r="82" spans="1:11" s="21" customFormat="1">
      <c r="A82" s="17">
        <v>4</v>
      </c>
      <c r="B82" s="6" t="s">
        <v>46</v>
      </c>
      <c r="C82" s="32">
        <f>SUM(C83:C86)</f>
        <v>100000</v>
      </c>
      <c r="D82" s="32">
        <f>SUM(D83:D86)</f>
        <v>200000</v>
      </c>
      <c r="E82" s="32">
        <f>SUM(E83:E86)</f>
        <v>200000</v>
      </c>
      <c r="F82" s="32">
        <f>SUM(F83:F86)</f>
        <v>300000</v>
      </c>
      <c r="G82" s="32">
        <f>SUM(G83:G86)</f>
        <v>300000</v>
      </c>
      <c r="H82" s="32">
        <f t="shared" si="25"/>
        <v>1100000</v>
      </c>
      <c r="I82" s="100"/>
      <c r="J82" s="61"/>
    </row>
    <row r="83" spans="1:11">
      <c r="A83" s="15">
        <v>4.0999999999999996</v>
      </c>
      <c r="B83" s="7" t="s">
        <v>47</v>
      </c>
      <c r="C83" s="29">
        <v>100000</v>
      </c>
      <c r="D83" s="29"/>
      <c r="E83" s="29"/>
      <c r="F83" s="29"/>
      <c r="G83" s="29"/>
      <c r="H83" s="26">
        <f t="shared" si="25"/>
        <v>100000</v>
      </c>
      <c r="I83" s="95" t="s">
        <v>167</v>
      </c>
      <c r="J83" s="61" t="s">
        <v>201</v>
      </c>
    </row>
    <row r="84" spans="1:11">
      <c r="A84" s="15">
        <v>4.2</v>
      </c>
      <c r="B84" s="7" t="s">
        <v>48</v>
      </c>
      <c r="C84" s="29"/>
      <c r="D84" s="29">
        <v>200000</v>
      </c>
      <c r="E84" s="29"/>
      <c r="F84" s="29"/>
      <c r="G84" s="29"/>
      <c r="H84" s="26">
        <f t="shared" si="25"/>
        <v>200000</v>
      </c>
      <c r="J84" s="61" t="s">
        <v>201</v>
      </c>
    </row>
    <row r="85" spans="1:11">
      <c r="A85" s="15">
        <v>4.3</v>
      </c>
      <c r="B85" s="7" t="s">
        <v>49</v>
      </c>
      <c r="C85" s="29"/>
      <c r="D85" s="29"/>
      <c r="E85" s="29">
        <v>200000</v>
      </c>
      <c r="F85" s="29">
        <f>E85</f>
        <v>200000</v>
      </c>
      <c r="G85" s="29">
        <f>F85</f>
        <v>200000</v>
      </c>
      <c r="H85" s="26">
        <f t="shared" si="25"/>
        <v>600000</v>
      </c>
      <c r="J85" s="61" t="s">
        <v>201</v>
      </c>
    </row>
    <row r="86" spans="1:11">
      <c r="A86" s="15">
        <v>4.4000000000000004</v>
      </c>
      <c r="B86" s="7" t="s">
        <v>50</v>
      </c>
      <c r="C86" s="27"/>
      <c r="D86" s="27"/>
      <c r="E86" s="27"/>
      <c r="F86" s="27">
        <v>100000</v>
      </c>
      <c r="G86" s="27">
        <f>F86</f>
        <v>100000</v>
      </c>
      <c r="H86" s="26">
        <f t="shared" si="25"/>
        <v>200000</v>
      </c>
      <c r="I86" s="95" t="s">
        <v>134</v>
      </c>
      <c r="J86" s="61" t="s">
        <v>201</v>
      </c>
    </row>
    <row r="87" spans="1:11" s="1" customFormat="1">
      <c r="A87" s="9" t="s">
        <v>51</v>
      </c>
      <c r="B87" s="9"/>
      <c r="C87" s="31">
        <f>C88+C94+C103+C108</f>
        <v>29800000</v>
      </c>
      <c r="D87" s="31">
        <f>D88+D94+D103+D108</f>
        <v>29570000</v>
      </c>
      <c r="E87" s="31">
        <f>E88+E94+E103+E108</f>
        <v>29570000</v>
      </c>
      <c r="F87" s="31">
        <f>F88+F94+F103+F108</f>
        <v>29570000</v>
      </c>
      <c r="G87" s="31">
        <f>G88+G94+G103+G108</f>
        <v>29570000</v>
      </c>
      <c r="H87" s="31">
        <f>SUM(C87:G87)</f>
        <v>148080000</v>
      </c>
      <c r="I87" s="97"/>
    </row>
    <row r="88" spans="1:11" s="21" customFormat="1">
      <c r="A88" s="17">
        <v>1</v>
      </c>
      <c r="B88" s="6" t="s">
        <v>52</v>
      </c>
      <c r="C88" s="32">
        <f>SUM(C89:C93)</f>
        <v>100000</v>
      </c>
      <c r="D88" s="32">
        <f>SUM(D89:D93)</f>
        <v>20000</v>
      </c>
      <c r="E88" s="32">
        <f>SUM(E89:E93)</f>
        <v>20000</v>
      </c>
      <c r="F88" s="32">
        <f>SUM(F89:F93)</f>
        <v>20000</v>
      </c>
      <c r="G88" s="32">
        <f>SUM(G89:G93)</f>
        <v>20000</v>
      </c>
      <c r="H88" s="32">
        <f t="shared" si="25"/>
        <v>180000</v>
      </c>
      <c r="I88" s="100" t="s">
        <v>134</v>
      </c>
      <c r="J88" s="61"/>
    </row>
    <row r="89" spans="1:11">
      <c r="A89" s="18">
        <v>1.1000000000000001</v>
      </c>
      <c r="B89" s="11" t="s">
        <v>53</v>
      </c>
      <c r="C89" s="27">
        <v>20000</v>
      </c>
      <c r="D89" s="27">
        <f>C89</f>
        <v>20000</v>
      </c>
      <c r="E89" s="27">
        <f>C89</f>
        <v>20000</v>
      </c>
      <c r="F89" s="27">
        <f>E89</f>
        <v>20000</v>
      </c>
      <c r="G89" s="27">
        <f>F89</f>
        <v>20000</v>
      </c>
      <c r="H89" s="26">
        <f t="shared" si="25"/>
        <v>100000</v>
      </c>
      <c r="I89" s="95" t="s">
        <v>134</v>
      </c>
      <c r="J89" s="61" t="s">
        <v>200</v>
      </c>
      <c r="K89" t="s">
        <v>261</v>
      </c>
    </row>
    <row r="90" spans="1:11" ht="23">
      <c r="A90" s="19">
        <v>1.2</v>
      </c>
      <c r="B90" s="13" t="s">
        <v>54</v>
      </c>
      <c r="C90" s="27">
        <v>80000</v>
      </c>
      <c r="D90" s="27"/>
      <c r="E90" s="27"/>
      <c r="F90" s="27"/>
      <c r="G90" s="27"/>
      <c r="H90" s="26">
        <f t="shared" si="25"/>
        <v>80000</v>
      </c>
      <c r="I90" s="95" t="s">
        <v>134</v>
      </c>
      <c r="J90" s="61" t="s">
        <v>250</v>
      </c>
    </row>
    <row r="91" spans="1:11">
      <c r="A91" s="19">
        <v>1.3</v>
      </c>
      <c r="B91" s="13" t="s">
        <v>55</v>
      </c>
      <c r="C91" s="27" t="s">
        <v>168</v>
      </c>
      <c r="D91" s="27"/>
      <c r="E91" s="27"/>
      <c r="F91" s="27"/>
      <c r="G91" s="27"/>
      <c r="H91" s="26">
        <f t="shared" si="25"/>
        <v>0</v>
      </c>
      <c r="I91" s="95" t="s">
        <v>134</v>
      </c>
    </row>
    <row r="92" spans="1:11" ht="23">
      <c r="A92" s="19">
        <v>1.4</v>
      </c>
      <c r="B92" s="13" t="s">
        <v>56</v>
      </c>
      <c r="C92" s="27" t="s">
        <v>168</v>
      </c>
      <c r="D92" s="27"/>
      <c r="E92" s="27"/>
      <c r="F92" s="27"/>
      <c r="G92" s="27"/>
      <c r="H92" s="26">
        <f t="shared" si="25"/>
        <v>0</v>
      </c>
      <c r="I92" s="95" t="s">
        <v>134</v>
      </c>
    </row>
    <row r="93" spans="1:11">
      <c r="A93" s="19">
        <v>1.5</v>
      </c>
      <c r="B93" s="13" t="s">
        <v>57</v>
      </c>
      <c r="C93" s="27" t="s">
        <v>168</v>
      </c>
      <c r="D93" s="29"/>
      <c r="E93" s="29"/>
      <c r="F93" s="29"/>
      <c r="G93" s="29"/>
      <c r="H93" s="26">
        <f t="shared" si="25"/>
        <v>0</v>
      </c>
    </row>
    <row r="94" spans="1:11" s="21" customFormat="1">
      <c r="A94" s="17">
        <v>2</v>
      </c>
      <c r="B94" s="6" t="s">
        <v>58</v>
      </c>
      <c r="C94" s="32">
        <f>SUM(C95:C102)</f>
        <v>150000</v>
      </c>
      <c r="D94" s="32">
        <f>SUM(D95:D102)</f>
        <v>0</v>
      </c>
      <c r="E94" s="32">
        <f>SUM(E95:E102)</f>
        <v>0</v>
      </c>
      <c r="F94" s="32">
        <f>SUM(F95:F102)</f>
        <v>0</v>
      </c>
      <c r="G94" s="32">
        <f>SUM(G95:G102)</f>
        <v>0</v>
      </c>
      <c r="H94" s="32">
        <f t="shared" si="25"/>
        <v>150000</v>
      </c>
      <c r="I94" s="95"/>
      <c r="J94" s="61"/>
    </row>
    <row r="95" spans="1:11">
      <c r="A95" s="15">
        <v>2.1</v>
      </c>
      <c r="B95" s="7" t="s">
        <v>59</v>
      </c>
      <c r="C95" s="29">
        <v>150000</v>
      </c>
      <c r="D95" s="29"/>
      <c r="E95" s="29"/>
      <c r="F95" s="29"/>
      <c r="G95" s="29"/>
      <c r="H95" s="26">
        <f t="shared" si="25"/>
        <v>150000</v>
      </c>
      <c r="J95" s="61" t="s">
        <v>200</v>
      </c>
    </row>
    <row r="96" spans="1:11">
      <c r="A96" s="15">
        <v>2.2000000000000002</v>
      </c>
      <c r="B96" s="8" t="s">
        <v>60</v>
      </c>
      <c r="C96" s="27" t="s">
        <v>169</v>
      </c>
      <c r="D96" s="27"/>
      <c r="E96" s="27"/>
      <c r="F96" s="27"/>
      <c r="G96" s="27"/>
      <c r="H96" s="26">
        <f t="shared" si="25"/>
        <v>0</v>
      </c>
    </row>
    <row r="97" spans="1:14">
      <c r="A97" s="15">
        <v>2.2999999999999998</v>
      </c>
      <c r="B97" s="13" t="s">
        <v>61</v>
      </c>
      <c r="C97" s="27" t="s">
        <v>169</v>
      </c>
      <c r="D97" s="27"/>
      <c r="E97" s="27"/>
      <c r="F97" s="27"/>
      <c r="G97" s="27"/>
      <c r="H97" s="26">
        <f t="shared" si="25"/>
        <v>0</v>
      </c>
    </row>
    <row r="98" spans="1:14">
      <c r="A98" s="15">
        <v>2.4</v>
      </c>
      <c r="B98" s="8" t="s">
        <v>62</v>
      </c>
      <c r="C98" s="27" t="s">
        <v>169</v>
      </c>
      <c r="D98" s="27"/>
      <c r="E98" s="27"/>
      <c r="F98" s="27"/>
      <c r="G98" s="27"/>
      <c r="H98" s="26">
        <f t="shared" si="25"/>
        <v>0</v>
      </c>
    </row>
    <row r="99" spans="1:14">
      <c r="A99" s="15">
        <v>2.5</v>
      </c>
      <c r="B99" s="8" t="s">
        <v>63</v>
      </c>
      <c r="C99" s="27" t="s">
        <v>169</v>
      </c>
      <c r="D99" s="27"/>
      <c r="E99" s="27"/>
      <c r="F99" s="27"/>
      <c r="G99" s="27"/>
      <c r="H99" s="26">
        <f t="shared" si="25"/>
        <v>0</v>
      </c>
    </row>
    <row r="100" spans="1:14">
      <c r="A100" s="15">
        <v>2.6</v>
      </c>
      <c r="B100" s="8" t="s">
        <v>64</v>
      </c>
      <c r="C100" s="27" t="s">
        <v>169</v>
      </c>
      <c r="D100" s="27"/>
      <c r="E100" s="27"/>
      <c r="F100" s="27"/>
      <c r="G100" s="27"/>
      <c r="H100" s="26">
        <f t="shared" si="25"/>
        <v>0</v>
      </c>
    </row>
    <row r="101" spans="1:14" ht="23">
      <c r="A101" s="15">
        <v>2.7</v>
      </c>
      <c r="B101" s="8" t="s">
        <v>65</v>
      </c>
      <c r="C101" s="27" t="s">
        <v>169</v>
      </c>
      <c r="D101" s="27"/>
      <c r="E101" s="27"/>
      <c r="F101" s="27"/>
      <c r="G101" s="27"/>
      <c r="H101" s="26">
        <f t="shared" si="25"/>
        <v>0</v>
      </c>
    </row>
    <row r="102" spans="1:14">
      <c r="A102" s="15">
        <v>2.8</v>
      </c>
      <c r="B102" s="8" t="s">
        <v>66</v>
      </c>
      <c r="C102" s="27" t="s">
        <v>169</v>
      </c>
      <c r="D102" s="27"/>
      <c r="E102" s="27"/>
      <c r="F102" s="27"/>
      <c r="G102" s="27"/>
      <c r="H102" s="26">
        <f t="shared" si="25"/>
        <v>0</v>
      </c>
    </row>
    <row r="103" spans="1:14" s="21" customFormat="1">
      <c r="A103" s="17">
        <v>3</v>
      </c>
      <c r="B103" s="6" t="s">
        <v>67</v>
      </c>
      <c r="C103" s="32">
        <f>SUM(C104:C107)</f>
        <v>29500000</v>
      </c>
      <c r="D103" s="32">
        <f>SUM(D104:D107)</f>
        <v>29500000</v>
      </c>
      <c r="E103" s="32">
        <f>SUM(E104:E107)</f>
        <v>29500000</v>
      </c>
      <c r="F103" s="32">
        <f>SUM(F104:F107)</f>
        <v>29500000</v>
      </c>
      <c r="G103" s="32">
        <f>SUM(G104:G107)</f>
        <v>29500000</v>
      </c>
      <c r="H103" s="32">
        <f t="shared" si="25"/>
        <v>147500000</v>
      </c>
      <c r="I103" s="100"/>
      <c r="J103" s="61"/>
    </row>
    <row r="104" spans="1:14" ht="23">
      <c r="A104" s="15">
        <v>3.1</v>
      </c>
      <c r="B104" s="8" t="s">
        <v>68</v>
      </c>
      <c r="C104" s="29" t="s">
        <v>136</v>
      </c>
      <c r="D104" s="29" t="s">
        <v>136</v>
      </c>
      <c r="E104" s="29" t="s">
        <v>136</v>
      </c>
      <c r="F104" s="29" t="s">
        <v>136</v>
      </c>
      <c r="G104" s="29" t="s">
        <v>136</v>
      </c>
      <c r="H104" s="26">
        <f t="shared" si="25"/>
        <v>0</v>
      </c>
      <c r="J104" s="102" t="s">
        <v>200</v>
      </c>
    </row>
    <row r="105" spans="1:14" ht="35.5">
      <c r="A105" s="15">
        <v>3.2</v>
      </c>
      <c r="B105" s="13" t="s">
        <v>69</v>
      </c>
      <c r="C105" s="27">
        <f>40*1500000*0.4</f>
        <v>24000000</v>
      </c>
      <c r="D105" s="27">
        <f>C105</f>
        <v>24000000</v>
      </c>
      <c r="E105" s="27">
        <f>D105</f>
        <v>24000000</v>
      </c>
      <c r="F105" s="27">
        <f>E105</f>
        <v>24000000</v>
      </c>
      <c r="G105" s="27">
        <f>F105</f>
        <v>24000000</v>
      </c>
      <c r="H105" s="26">
        <f t="shared" ref="H105:H158" si="28">SUM(C105:G105)</f>
        <v>120000000</v>
      </c>
      <c r="I105" s="95" t="s">
        <v>170</v>
      </c>
      <c r="J105" s="61" t="s">
        <v>260</v>
      </c>
      <c r="L105" t="s">
        <v>259</v>
      </c>
    </row>
    <row r="106" spans="1:14" ht="23">
      <c r="A106" s="14">
        <v>3.3</v>
      </c>
      <c r="B106" s="8" t="s">
        <v>70</v>
      </c>
      <c r="C106" s="29">
        <v>5500000</v>
      </c>
      <c r="D106" s="29">
        <f>C106</f>
        <v>5500000</v>
      </c>
      <c r="E106" s="29">
        <f>C106</f>
        <v>5500000</v>
      </c>
      <c r="F106" s="29">
        <f>C106</f>
        <v>5500000</v>
      </c>
      <c r="G106" s="29">
        <f>C106</f>
        <v>5500000</v>
      </c>
      <c r="H106" s="26">
        <f t="shared" si="28"/>
        <v>27500000</v>
      </c>
      <c r="J106" s="102" t="s">
        <v>199</v>
      </c>
    </row>
    <row r="107" spans="1:14" ht="23">
      <c r="A107" s="14">
        <v>3.4</v>
      </c>
      <c r="B107" s="8" t="s">
        <v>71</v>
      </c>
      <c r="C107" s="29" t="s">
        <v>136</v>
      </c>
      <c r="D107" s="29" t="s">
        <v>136</v>
      </c>
      <c r="E107" s="29" t="s">
        <v>136</v>
      </c>
      <c r="F107" s="29" t="s">
        <v>136</v>
      </c>
      <c r="G107" s="29" t="s">
        <v>136</v>
      </c>
      <c r="H107" s="26">
        <f t="shared" si="28"/>
        <v>0</v>
      </c>
      <c r="I107" s="100"/>
    </row>
    <row r="108" spans="1:14" s="21" customFormat="1">
      <c r="A108" s="17">
        <v>4</v>
      </c>
      <c r="B108" s="6" t="s">
        <v>72</v>
      </c>
      <c r="C108" s="32">
        <f>SUM(C109:C111)</f>
        <v>50000</v>
      </c>
      <c r="D108" s="32">
        <f>SUM(D109:D111)</f>
        <v>50000</v>
      </c>
      <c r="E108" s="32">
        <f>SUM(E109:E111)</f>
        <v>50000</v>
      </c>
      <c r="F108" s="32">
        <f>SUM(F109:F111)</f>
        <v>50000</v>
      </c>
      <c r="G108" s="32">
        <f>SUM(G109:G111)</f>
        <v>50000</v>
      </c>
      <c r="H108" s="32">
        <f t="shared" si="28"/>
        <v>250000</v>
      </c>
      <c r="I108" s="100"/>
      <c r="J108" s="61"/>
    </row>
    <row r="109" spans="1:14" ht="23">
      <c r="A109" s="15">
        <v>4.0999999999999996</v>
      </c>
      <c r="B109" s="8" t="s">
        <v>73</v>
      </c>
      <c r="C109" s="29" t="s">
        <v>136</v>
      </c>
      <c r="D109" s="29" t="s">
        <v>136</v>
      </c>
      <c r="E109" s="29" t="s">
        <v>136</v>
      </c>
      <c r="F109" s="29" t="s">
        <v>136</v>
      </c>
      <c r="G109" s="29" t="s">
        <v>136</v>
      </c>
      <c r="H109" s="26">
        <f t="shared" si="28"/>
        <v>0</v>
      </c>
      <c r="N109">
        <f>50/120*100</f>
        <v>41.666666666666671</v>
      </c>
    </row>
    <row r="110" spans="1:14" ht="23">
      <c r="A110" s="15">
        <v>4.3</v>
      </c>
      <c r="B110" s="8" t="s">
        <v>74</v>
      </c>
      <c r="C110" s="29" t="s">
        <v>136</v>
      </c>
      <c r="D110" s="29" t="s">
        <v>136</v>
      </c>
      <c r="E110" s="29" t="s">
        <v>136</v>
      </c>
      <c r="F110" s="29" t="s">
        <v>136</v>
      </c>
      <c r="G110" s="29" t="s">
        <v>136</v>
      </c>
      <c r="H110" s="26">
        <f t="shared" si="28"/>
        <v>0</v>
      </c>
    </row>
    <row r="111" spans="1:14">
      <c r="A111" s="15">
        <v>4.2</v>
      </c>
      <c r="B111" s="8" t="s">
        <v>75</v>
      </c>
      <c r="C111" s="27">
        <v>50000</v>
      </c>
      <c r="D111" s="27">
        <f>C111</f>
        <v>50000</v>
      </c>
      <c r="E111" s="27">
        <f>C111</f>
        <v>50000</v>
      </c>
      <c r="F111" s="27">
        <f>C111</f>
        <v>50000</v>
      </c>
      <c r="G111" s="27">
        <f>C111</f>
        <v>50000</v>
      </c>
      <c r="H111" s="26">
        <f t="shared" si="28"/>
        <v>250000</v>
      </c>
      <c r="I111" s="95" t="s">
        <v>134</v>
      </c>
      <c r="J111" s="61" t="s">
        <v>250</v>
      </c>
      <c r="K111" t="s">
        <v>258</v>
      </c>
    </row>
    <row r="112" spans="1:14" s="1" customFormat="1">
      <c r="A112" s="9" t="s">
        <v>76</v>
      </c>
      <c r="B112" s="9"/>
      <c r="C112" s="31">
        <f>C113+C118+C124+C128+C132</f>
        <v>260000</v>
      </c>
      <c r="D112" s="31">
        <f>D113+D118+D124+D128+D132</f>
        <v>520000</v>
      </c>
      <c r="E112" s="31">
        <f>E113+E118+E124+E128+E132</f>
        <v>55590000</v>
      </c>
      <c r="F112" s="31">
        <f>F113+F118+F124+F128+F132</f>
        <v>5280000</v>
      </c>
      <c r="G112" s="31">
        <f>G113+G118+G124+G128+G132</f>
        <v>5280000</v>
      </c>
      <c r="H112" s="31">
        <f t="shared" si="28"/>
        <v>66930000</v>
      </c>
      <c r="I112" s="97"/>
    </row>
    <row r="113" spans="1:10" s="21" customFormat="1">
      <c r="A113" s="17">
        <v>1</v>
      </c>
      <c r="B113" s="6" t="s">
        <v>77</v>
      </c>
      <c r="C113" s="32">
        <f>SUM(C114:C117)</f>
        <v>50000</v>
      </c>
      <c r="D113" s="32">
        <f>SUM(D114:D117)</f>
        <v>0</v>
      </c>
      <c r="E113" s="32">
        <f>SUM(E114:E117)</f>
        <v>50000000</v>
      </c>
      <c r="F113" s="32">
        <f>SUM(F114:F117)</f>
        <v>0</v>
      </c>
      <c r="G113" s="32">
        <f>SUM(G114:G117)</f>
        <v>0</v>
      </c>
      <c r="H113" s="32">
        <f t="shared" si="28"/>
        <v>50050000</v>
      </c>
      <c r="I113" s="100"/>
      <c r="J113" s="61"/>
    </row>
    <row r="114" spans="1:10">
      <c r="A114" s="15">
        <v>1.1000000000000001</v>
      </c>
      <c r="B114" s="7" t="s">
        <v>78</v>
      </c>
      <c r="C114" s="27">
        <v>25000</v>
      </c>
      <c r="D114" s="27"/>
      <c r="E114" s="27"/>
      <c r="F114" s="27"/>
      <c r="G114" s="27"/>
      <c r="H114" s="26">
        <f t="shared" si="28"/>
        <v>25000</v>
      </c>
      <c r="J114" s="61" t="s">
        <v>200</v>
      </c>
    </row>
    <row r="115" spans="1:10">
      <c r="A115" s="15">
        <v>1.2</v>
      </c>
      <c r="B115" s="7" t="s">
        <v>79</v>
      </c>
      <c r="C115" s="27">
        <v>25000</v>
      </c>
      <c r="D115" s="27"/>
      <c r="E115" s="27"/>
      <c r="F115" s="27"/>
      <c r="G115" s="27"/>
      <c r="H115" s="26">
        <f t="shared" si="28"/>
        <v>25000</v>
      </c>
      <c r="J115" s="61" t="s">
        <v>200</v>
      </c>
    </row>
    <row r="116" spans="1:10" ht="23">
      <c r="A116" s="15">
        <v>1.3</v>
      </c>
      <c r="B116" s="8" t="s">
        <v>80</v>
      </c>
      <c r="C116" s="27"/>
      <c r="D116" s="27"/>
      <c r="E116" s="46">
        <v>50000000</v>
      </c>
      <c r="F116" s="27"/>
      <c r="G116" s="27"/>
      <c r="H116" s="26">
        <f t="shared" si="28"/>
        <v>50000000</v>
      </c>
      <c r="J116" s="61" t="s">
        <v>200</v>
      </c>
    </row>
    <row r="117" spans="1:10">
      <c r="A117" s="15">
        <v>1.4</v>
      </c>
      <c r="B117" s="8" t="s">
        <v>81</v>
      </c>
      <c r="C117" s="29" t="s">
        <v>136</v>
      </c>
      <c r="D117" s="29" t="s">
        <v>136</v>
      </c>
      <c r="E117" s="29" t="s">
        <v>136</v>
      </c>
      <c r="F117" s="29" t="s">
        <v>136</v>
      </c>
      <c r="G117" s="29" t="s">
        <v>136</v>
      </c>
      <c r="H117" s="26">
        <f t="shared" si="28"/>
        <v>0</v>
      </c>
    </row>
    <row r="118" spans="1:10" s="21" customFormat="1">
      <c r="A118" s="17">
        <v>2</v>
      </c>
      <c r="B118" s="6" t="s">
        <v>82</v>
      </c>
      <c r="C118" s="32">
        <f>200000*0.6</f>
        <v>120000</v>
      </c>
      <c r="D118" s="32">
        <f>200000*0.4</f>
        <v>80000</v>
      </c>
      <c r="E118" s="32">
        <v>5000000</v>
      </c>
      <c r="F118" s="32">
        <v>5000000</v>
      </c>
      <c r="G118" s="32">
        <v>5000000</v>
      </c>
      <c r="H118" s="32">
        <f t="shared" si="28"/>
        <v>15200000</v>
      </c>
      <c r="I118" s="95"/>
      <c r="J118" s="61" t="s">
        <v>199</v>
      </c>
    </row>
    <row r="119" spans="1:10">
      <c r="A119" s="15">
        <v>2.1</v>
      </c>
      <c r="B119" s="8" t="s">
        <v>83</v>
      </c>
      <c r="C119" s="27"/>
      <c r="D119" s="27"/>
      <c r="E119" s="27"/>
      <c r="F119" s="27"/>
      <c r="G119" s="27"/>
      <c r="H119" s="26">
        <f t="shared" si="28"/>
        <v>0</v>
      </c>
    </row>
    <row r="120" spans="1:10" ht="23">
      <c r="A120" s="15">
        <v>2.2000000000000002</v>
      </c>
      <c r="B120" s="8" t="s">
        <v>84</v>
      </c>
      <c r="C120" s="29"/>
      <c r="D120" s="29"/>
      <c r="E120" s="29"/>
      <c r="F120" s="29"/>
      <c r="G120" s="29"/>
      <c r="H120" s="26">
        <f t="shared" si="28"/>
        <v>0</v>
      </c>
    </row>
    <row r="121" spans="1:10" ht="23">
      <c r="A121" s="15">
        <v>2.2999999999999998</v>
      </c>
      <c r="B121" s="8" t="s">
        <v>85</v>
      </c>
      <c r="C121" s="27"/>
      <c r="D121" s="27"/>
      <c r="F121" s="27"/>
      <c r="G121" s="27"/>
      <c r="H121" s="26"/>
    </row>
    <row r="122" spans="1:10">
      <c r="A122" s="15">
        <v>2.4</v>
      </c>
      <c r="B122" s="8" t="s">
        <v>86</v>
      </c>
      <c r="C122" s="27"/>
      <c r="D122" s="27"/>
      <c r="E122" s="27"/>
      <c r="F122" s="27"/>
      <c r="G122" s="27"/>
      <c r="H122" s="26">
        <f t="shared" si="28"/>
        <v>0</v>
      </c>
    </row>
    <row r="123" spans="1:10">
      <c r="A123" s="15">
        <v>2.5</v>
      </c>
      <c r="B123" s="8" t="s">
        <v>87</v>
      </c>
      <c r="C123" s="27"/>
      <c r="D123" s="27"/>
      <c r="E123" s="27"/>
      <c r="F123" s="27"/>
      <c r="G123" s="27"/>
      <c r="H123" s="26">
        <f t="shared" si="28"/>
        <v>0</v>
      </c>
    </row>
    <row r="124" spans="1:10" s="21" customFormat="1">
      <c r="A124" s="17">
        <v>3</v>
      </c>
      <c r="B124" s="6" t="s">
        <v>88</v>
      </c>
      <c r="C124" s="32">
        <f>SUM(C125:C127)</f>
        <v>0</v>
      </c>
      <c r="D124" s="32">
        <f>SUM(D125:D127)</f>
        <v>0</v>
      </c>
      <c r="E124" s="32">
        <f>SUM(E125:E127)</f>
        <v>60000</v>
      </c>
      <c r="F124" s="32">
        <f>SUM(F125:F127)</f>
        <v>50000</v>
      </c>
      <c r="G124" s="32">
        <f>SUM(G125:G127)</f>
        <v>50000</v>
      </c>
      <c r="H124" s="32">
        <f t="shared" si="28"/>
        <v>160000</v>
      </c>
      <c r="I124" s="100"/>
      <c r="J124" s="61"/>
    </row>
    <row r="125" spans="1:10">
      <c r="A125" s="15">
        <v>3.1</v>
      </c>
      <c r="B125" s="7" t="s">
        <v>89</v>
      </c>
      <c r="C125" s="27"/>
      <c r="D125" s="27"/>
      <c r="E125" s="27">
        <v>30000</v>
      </c>
      <c r="F125" s="27"/>
      <c r="G125" s="27"/>
      <c r="H125" s="26">
        <f t="shared" si="28"/>
        <v>30000</v>
      </c>
      <c r="I125" s="95" t="s">
        <v>134</v>
      </c>
      <c r="J125" s="61" t="s">
        <v>201</v>
      </c>
    </row>
    <row r="126" spans="1:10">
      <c r="A126" s="15">
        <v>3.2</v>
      </c>
      <c r="B126" s="7" t="s">
        <v>90</v>
      </c>
      <c r="C126" s="27"/>
      <c r="D126" s="27"/>
      <c r="E126" s="27">
        <v>30000</v>
      </c>
      <c r="F126" s="27"/>
      <c r="G126" s="27"/>
      <c r="H126" s="26">
        <f t="shared" si="28"/>
        <v>30000</v>
      </c>
      <c r="I126" s="95" t="s">
        <v>134</v>
      </c>
      <c r="J126" s="61" t="s">
        <v>201</v>
      </c>
    </row>
    <row r="127" spans="1:10">
      <c r="A127" s="15">
        <v>3.3</v>
      </c>
      <c r="B127" s="7" t="s">
        <v>91</v>
      </c>
      <c r="C127" s="29"/>
      <c r="D127" s="29"/>
      <c r="E127" s="29"/>
      <c r="F127" s="29">
        <v>50000</v>
      </c>
      <c r="G127" s="29">
        <v>50000</v>
      </c>
      <c r="H127" s="26">
        <f t="shared" si="28"/>
        <v>100000</v>
      </c>
      <c r="J127" s="61" t="s">
        <v>201</v>
      </c>
    </row>
    <row r="128" spans="1:10" s="21" customFormat="1">
      <c r="A128" s="17">
        <v>4</v>
      </c>
      <c r="B128" s="6" t="s">
        <v>92</v>
      </c>
      <c r="C128" s="32">
        <f>SUM(C129:C131)</f>
        <v>60000</v>
      </c>
      <c r="D128" s="32">
        <f>SUM(D129:D131)</f>
        <v>80000</v>
      </c>
      <c r="E128" s="32">
        <f>SUM(E129:E131)</f>
        <v>50000</v>
      </c>
      <c r="F128" s="32">
        <f>SUM(F129:F131)</f>
        <v>50000</v>
      </c>
      <c r="G128" s="32">
        <f>SUM(G129:G131)</f>
        <v>50000</v>
      </c>
      <c r="H128" s="32">
        <f t="shared" si="28"/>
        <v>290000</v>
      </c>
      <c r="I128" s="100"/>
      <c r="J128" s="61"/>
    </row>
    <row r="129" spans="1:10">
      <c r="A129" s="15">
        <v>4.0999999999999996</v>
      </c>
      <c r="B129" s="7" t="s">
        <v>93</v>
      </c>
      <c r="C129" s="27">
        <v>30000</v>
      </c>
      <c r="D129" s="27"/>
      <c r="E129" s="27"/>
      <c r="F129" s="27"/>
      <c r="G129" s="27"/>
      <c r="H129" s="26">
        <f t="shared" si="28"/>
        <v>30000</v>
      </c>
      <c r="J129" s="61" t="s">
        <v>201</v>
      </c>
    </row>
    <row r="130" spans="1:10">
      <c r="A130" s="15">
        <v>4.2</v>
      </c>
      <c r="B130" s="7" t="s">
        <v>94</v>
      </c>
      <c r="C130" s="27">
        <v>30000</v>
      </c>
      <c r="D130" s="27">
        <v>30000</v>
      </c>
      <c r="E130" s="27"/>
      <c r="F130" s="27"/>
      <c r="G130" s="27"/>
      <c r="H130" s="26">
        <f t="shared" si="28"/>
        <v>60000</v>
      </c>
      <c r="J130" s="61" t="s">
        <v>201</v>
      </c>
    </row>
    <row r="131" spans="1:10">
      <c r="A131" s="15">
        <v>4.3</v>
      </c>
      <c r="B131" s="7" t="s">
        <v>95</v>
      </c>
      <c r="C131" s="27"/>
      <c r="D131" s="27">
        <v>50000</v>
      </c>
      <c r="E131" s="27">
        <f>D131</f>
        <v>50000</v>
      </c>
      <c r="F131" s="27">
        <f>E131</f>
        <v>50000</v>
      </c>
      <c r="G131" s="27">
        <f>F131</f>
        <v>50000</v>
      </c>
      <c r="H131" s="26">
        <f t="shared" si="28"/>
        <v>200000</v>
      </c>
      <c r="J131" s="61" t="s">
        <v>250</v>
      </c>
    </row>
    <row r="132" spans="1:10" s="21" customFormat="1">
      <c r="A132" s="17">
        <v>5</v>
      </c>
      <c r="B132" s="6" t="s">
        <v>96</v>
      </c>
      <c r="C132" s="32">
        <f>SUM(C133:C137)</f>
        <v>30000</v>
      </c>
      <c r="D132" s="32">
        <f>SUM(D133:D137)</f>
        <v>360000</v>
      </c>
      <c r="E132" s="32">
        <f>SUM(E133:E137)</f>
        <v>480000</v>
      </c>
      <c r="F132" s="32">
        <f>SUM(F133:F137)</f>
        <v>180000</v>
      </c>
      <c r="G132" s="32">
        <f>SUM(G133:G137)</f>
        <v>180000</v>
      </c>
      <c r="H132" s="32">
        <f t="shared" si="28"/>
        <v>1230000</v>
      </c>
      <c r="I132" s="100"/>
      <c r="J132" s="61"/>
    </row>
    <row r="133" spans="1:10">
      <c r="A133" s="18">
        <v>5.0999999999999996</v>
      </c>
      <c r="B133" s="11" t="s">
        <v>97</v>
      </c>
      <c r="C133" s="29">
        <f>6*5000</f>
        <v>30000</v>
      </c>
      <c r="D133" s="29"/>
      <c r="E133" s="29"/>
      <c r="F133" s="29"/>
      <c r="G133" s="29"/>
      <c r="H133" s="26">
        <f t="shared" si="28"/>
        <v>30000</v>
      </c>
      <c r="I133" s="107"/>
      <c r="J133" s="61" t="s">
        <v>201</v>
      </c>
    </row>
    <row r="134" spans="1:10">
      <c r="A134" s="18">
        <v>5.2</v>
      </c>
      <c r="B134" s="11" t="s">
        <v>98</v>
      </c>
      <c r="C134" s="27"/>
      <c r="D134" s="27">
        <v>30000</v>
      </c>
      <c r="E134" s="27"/>
      <c r="F134" s="27"/>
      <c r="G134" s="27"/>
      <c r="H134" s="26">
        <f t="shared" si="28"/>
        <v>30000</v>
      </c>
      <c r="J134" s="61" t="s">
        <v>201</v>
      </c>
    </row>
    <row r="135" spans="1:10">
      <c r="A135" s="18">
        <v>5.3</v>
      </c>
      <c r="B135" s="11" t="s">
        <v>99</v>
      </c>
      <c r="C135" s="27"/>
      <c r="D135" s="27"/>
      <c r="E135" s="27">
        <f>25000*6</f>
        <v>150000</v>
      </c>
      <c r="F135" s="27">
        <f>E135</f>
        <v>150000</v>
      </c>
      <c r="G135" s="27">
        <f>F135</f>
        <v>150000</v>
      </c>
      <c r="H135" s="26">
        <f t="shared" si="28"/>
        <v>450000</v>
      </c>
      <c r="J135" s="61" t="s">
        <v>199</v>
      </c>
    </row>
    <row r="136" spans="1:10">
      <c r="A136" s="18">
        <v>5.4</v>
      </c>
      <c r="B136" s="11" t="s">
        <v>100</v>
      </c>
      <c r="C136" s="27"/>
      <c r="D136" s="27">
        <v>300000</v>
      </c>
      <c r="E136" s="27">
        <v>300000</v>
      </c>
      <c r="F136" s="27"/>
      <c r="G136" s="27"/>
      <c r="H136" s="26">
        <f t="shared" si="28"/>
        <v>600000</v>
      </c>
      <c r="J136" s="61" t="s">
        <v>199</v>
      </c>
    </row>
    <row r="137" spans="1:10">
      <c r="A137" s="15">
        <v>5.5</v>
      </c>
      <c r="B137" s="7" t="s">
        <v>101</v>
      </c>
      <c r="C137" s="27"/>
      <c r="D137" s="27">
        <v>30000</v>
      </c>
      <c r="E137" s="27">
        <f>D137</f>
        <v>30000</v>
      </c>
      <c r="F137" s="27">
        <f>E137</f>
        <v>30000</v>
      </c>
      <c r="G137" s="27">
        <f>F137</f>
        <v>30000</v>
      </c>
      <c r="H137" s="26">
        <f t="shared" si="28"/>
        <v>120000</v>
      </c>
      <c r="J137" s="61" t="s">
        <v>199</v>
      </c>
    </row>
    <row r="138" spans="1:10" s="1" customFormat="1">
      <c r="A138" s="9" t="s">
        <v>102</v>
      </c>
      <c r="B138" s="9"/>
      <c r="C138" s="31">
        <f>C139+C142+C154</f>
        <v>120000</v>
      </c>
      <c r="D138" s="31">
        <f>D139+D142+D154</f>
        <v>100000</v>
      </c>
      <c r="E138" s="31">
        <f>E139+E142+E154</f>
        <v>235000</v>
      </c>
      <c r="F138" s="31">
        <f>F139+F142+F154</f>
        <v>140000</v>
      </c>
      <c r="G138" s="31">
        <f>G139+G142+G154</f>
        <v>150000</v>
      </c>
      <c r="H138" s="31">
        <f t="shared" si="28"/>
        <v>745000</v>
      </c>
      <c r="I138" s="97"/>
    </row>
    <row r="139" spans="1:10" s="21" customFormat="1">
      <c r="A139" s="17">
        <v>1</v>
      </c>
      <c r="B139" s="6" t="s">
        <v>103</v>
      </c>
      <c r="C139" s="32">
        <f>SUM(C140:C141)</f>
        <v>50000</v>
      </c>
      <c r="D139" s="32">
        <f>SUM(D140:D141)</f>
        <v>50000</v>
      </c>
      <c r="E139" s="32">
        <f>SUM(E140:E141)</f>
        <v>40000</v>
      </c>
      <c r="F139" s="32">
        <f>SUM(F140:F141)</f>
        <v>40000</v>
      </c>
      <c r="G139" s="32">
        <f>SUM(G140:G141)</f>
        <v>40000</v>
      </c>
      <c r="H139" s="32">
        <f t="shared" si="28"/>
        <v>220000</v>
      </c>
      <c r="I139" s="100"/>
      <c r="J139" s="61"/>
    </row>
    <row r="140" spans="1:10">
      <c r="A140" s="15">
        <v>1.1000000000000001</v>
      </c>
      <c r="B140" s="7" t="s">
        <v>104</v>
      </c>
      <c r="C140" s="29">
        <v>50000</v>
      </c>
      <c r="D140" s="29">
        <v>50000</v>
      </c>
      <c r="E140" s="29"/>
      <c r="F140" s="29"/>
      <c r="G140" s="29"/>
      <c r="H140" s="26">
        <f t="shared" si="28"/>
        <v>100000</v>
      </c>
      <c r="J140" s="61" t="s">
        <v>250</v>
      </c>
    </row>
    <row r="141" spans="1:10">
      <c r="A141" s="15">
        <v>1.2</v>
      </c>
      <c r="B141" s="7" t="s">
        <v>105</v>
      </c>
      <c r="C141" s="27"/>
      <c r="D141" s="27"/>
      <c r="E141" s="27">
        <v>40000</v>
      </c>
      <c r="F141" s="27">
        <v>40000</v>
      </c>
      <c r="G141" s="27">
        <v>40000</v>
      </c>
      <c r="H141" s="26">
        <f t="shared" si="28"/>
        <v>120000</v>
      </c>
      <c r="J141" s="61" t="s">
        <v>201</v>
      </c>
    </row>
    <row r="142" spans="1:10" s="21" customFormat="1">
      <c r="A142" s="17">
        <v>2</v>
      </c>
      <c r="B142" s="6" t="s">
        <v>106</v>
      </c>
      <c r="C142" s="32">
        <f>SUM(C143:C153)</f>
        <v>40000</v>
      </c>
      <c r="D142" s="32">
        <f>SUM(D143:D153)</f>
        <v>0</v>
      </c>
      <c r="E142" s="32">
        <f>SUM(E143:E153)</f>
        <v>145000</v>
      </c>
      <c r="F142" s="32">
        <f>SUM(F143:F153)</f>
        <v>25000</v>
      </c>
      <c r="G142" s="32">
        <f>SUM(G143:G153)</f>
        <v>60000</v>
      </c>
      <c r="H142" s="32">
        <f t="shared" si="28"/>
        <v>270000</v>
      </c>
      <c r="I142" s="100"/>
      <c r="J142" s="61"/>
    </row>
    <row r="143" spans="1:10">
      <c r="A143" s="15">
        <v>2.1</v>
      </c>
      <c r="B143" s="7" t="s">
        <v>107</v>
      </c>
      <c r="C143" s="29"/>
      <c r="D143" s="29"/>
      <c r="E143" s="29"/>
      <c r="F143" s="29"/>
      <c r="G143" s="29"/>
      <c r="H143" s="26">
        <f t="shared" si="28"/>
        <v>0</v>
      </c>
    </row>
    <row r="144" spans="1:10">
      <c r="A144" s="15" t="s">
        <v>108</v>
      </c>
      <c r="B144" s="7" t="s">
        <v>109</v>
      </c>
      <c r="C144" s="27">
        <v>20000</v>
      </c>
      <c r="D144" s="29"/>
      <c r="E144" s="29"/>
      <c r="F144" s="29"/>
      <c r="G144" s="29"/>
      <c r="H144" s="26">
        <f t="shared" si="28"/>
        <v>20000</v>
      </c>
      <c r="J144" s="61" t="s">
        <v>250</v>
      </c>
    </row>
    <row r="145" spans="1:10">
      <c r="A145" s="15" t="s">
        <v>110</v>
      </c>
      <c r="B145" s="7" t="s">
        <v>111</v>
      </c>
      <c r="C145" s="27"/>
      <c r="D145" s="27"/>
      <c r="E145" s="27">
        <v>25000</v>
      </c>
      <c r="F145" s="27">
        <v>25000</v>
      </c>
      <c r="G145" s="27"/>
      <c r="H145" s="26">
        <f t="shared" si="28"/>
        <v>50000</v>
      </c>
      <c r="I145" s="107"/>
      <c r="J145" s="61" t="s">
        <v>201</v>
      </c>
    </row>
    <row r="146" spans="1:10">
      <c r="A146" s="15" t="s">
        <v>112</v>
      </c>
      <c r="B146" s="7" t="s">
        <v>113</v>
      </c>
      <c r="C146" s="27"/>
      <c r="D146" s="27"/>
      <c r="E146" s="27"/>
      <c r="F146" s="27"/>
      <c r="G146" s="27">
        <v>30000</v>
      </c>
      <c r="H146" s="26">
        <f t="shared" si="28"/>
        <v>30000</v>
      </c>
      <c r="J146" s="61" t="s">
        <v>201</v>
      </c>
    </row>
    <row r="147" spans="1:10">
      <c r="A147" s="15">
        <v>2.2000000000000002</v>
      </c>
      <c r="B147" s="7" t="s">
        <v>114</v>
      </c>
      <c r="C147" s="29"/>
      <c r="D147" s="29"/>
      <c r="E147" s="29"/>
      <c r="F147" s="29"/>
      <c r="G147" s="29"/>
      <c r="H147" s="26">
        <f t="shared" si="28"/>
        <v>0</v>
      </c>
    </row>
    <row r="148" spans="1:10">
      <c r="A148" s="15" t="s">
        <v>115</v>
      </c>
      <c r="B148" s="7" t="s">
        <v>116</v>
      </c>
      <c r="C148" s="27"/>
      <c r="D148" s="27"/>
      <c r="E148" s="27">
        <v>80000</v>
      </c>
      <c r="F148" s="27"/>
      <c r="G148" s="27"/>
      <c r="H148" s="26">
        <f t="shared" si="28"/>
        <v>80000</v>
      </c>
      <c r="J148" s="61" t="s">
        <v>201</v>
      </c>
    </row>
    <row r="149" spans="1:10">
      <c r="A149" s="15" t="s">
        <v>117</v>
      </c>
      <c r="B149" s="7" t="s">
        <v>118</v>
      </c>
      <c r="C149" s="29"/>
      <c r="D149" s="29"/>
      <c r="E149" s="29">
        <v>20000</v>
      </c>
      <c r="F149" s="29"/>
      <c r="G149" s="29"/>
      <c r="H149" s="26">
        <f t="shared" si="28"/>
        <v>20000</v>
      </c>
      <c r="J149" s="61" t="s">
        <v>250</v>
      </c>
    </row>
    <row r="150" spans="1:10">
      <c r="A150" s="15" t="s">
        <v>119</v>
      </c>
      <c r="B150" s="7" t="s">
        <v>120</v>
      </c>
      <c r="C150" s="27"/>
      <c r="D150" s="27"/>
      <c r="E150" s="27"/>
      <c r="F150" s="27"/>
      <c r="G150" s="27">
        <v>30000</v>
      </c>
      <c r="H150" s="26">
        <f t="shared" si="28"/>
        <v>30000</v>
      </c>
      <c r="J150" s="61" t="s">
        <v>201</v>
      </c>
    </row>
    <row r="151" spans="1:10">
      <c r="A151" s="15">
        <v>2.2999999999999998</v>
      </c>
      <c r="B151" s="7" t="s">
        <v>121</v>
      </c>
      <c r="C151" s="29"/>
      <c r="D151" s="29"/>
      <c r="E151" s="29"/>
      <c r="F151" s="29"/>
      <c r="G151" s="29"/>
      <c r="H151" s="26">
        <f t="shared" si="28"/>
        <v>0</v>
      </c>
    </row>
    <row r="152" spans="1:10">
      <c r="A152" s="15" t="s">
        <v>122</v>
      </c>
      <c r="B152" s="7" t="s">
        <v>123</v>
      </c>
      <c r="C152" s="29">
        <v>20000</v>
      </c>
      <c r="D152" s="29"/>
      <c r="E152" s="29"/>
      <c r="F152" s="29"/>
      <c r="G152" s="29"/>
      <c r="H152" s="26">
        <f t="shared" si="28"/>
        <v>20000</v>
      </c>
      <c r="J152" s="61" t="s">
        <v>250</v>
      </c>
    </row>
    <row r="153" spans="1:10">
      <c r="A153" s="15" t="s">
        <v>124</v>
      </c>
      <c r="B153" s="7" t="s">
        <v>125</v>
      </c>
      <c r="C153" s="27"/>
      <c r="D153" s="27"/>
      <c r="E153" s="27">
        <v>20000</v>
      </c>
      <c r="F153" s="27"/>
      <c r="G153" s="27"/>
      <c r="H153" s="26">
        <f t="shared" si="28"/>
        <v>20000</v>
      </c>
      <c r="J153" s="61" t="s">
        <v>201</v>
      </c>
    </row>
    <row r="154" spans="1:10" s="21" customFormat="1">
      <c r="A154" s="17">
        <v>3</v>
      </c>
      <c r="B154" s="6" t="s">
        <v>126</v>
      </c>
      <c r="C154" s="32">
        <f>SUM(C155:C158)</f>
        <v>30000</v>
      </c>
      <c r="D154" s="32">
        <f>SUM(D155:D158)</f>
        <v>50000</v>
      </c>
      <c r="E154" s="32">
        <f>SUM(E155:E158)</f>
        <v>50000</v>
      </c>
      <c r="F154" s="32">
        <f>SUM(F155:F158)</f>
        <v>75000</v>
      </c>
      <c r="G154" s="32">
        <f>SUM(G155:G158)</f>
        <v>50000</v>
      </c>
      <c r="H154" s="32">
        <f t="shared" si="28"/>
        <v>255000</v>
      </c>
      <c r="I154" s="100"/>
      <c r="J154" s="61"/>
    </row>
    <row r="155" spans="1:10">
      <c r="A155" s="15">
        <v>3.1</v>
      </c>
      <c r="B155" s="7" t="s">
        <v>127</v>
      </c>
      <c r="C155" s="27"/>
      <c r="D155" s="27"/>
      <c r="E155" s="27"/>
      <c r="F155" s="27"/>
      <c r="G155" s="27"/>
      <c r="H155" s="26">
        <f t="shared" si="28"/>
        <v>0</v>
      </c>
    </row>
    <row r="156" spans="1:10">
      <c r="A156" s="15" t="s">
        <v>128</v>
      </c>
      <c r="B156" s="7" t="s">
        <v>129</v>
      </c>
      <c r="C156" s="27">
        <v>30000</v>
      </c>
      <c r="D156" s="27"/>
      <c r="E156" s="27"/>
      <c r="F156" s="27"/>
      <c r="G156" s="27"/>
      <c r="H156" s="26">
        <f t="shared" si="28"/>
        <v>30000</v>
      </c>
      <c r="J156" s="61" t="s">
        <v>201</v>
      </c>
    </row>
    <row r="157" spans="1:10">
      <c r="A157" s="15" t="s">
        <v>130</v>
      </c>
      <c r="B157" s="7" t="s">
        <v>131</v>
      </c>
      <c r="C157" s="27"/>
      <c r="D157" s="27">
        <v>50000</v>
      </c>
      <c r="E157" s="27">
        <f>D157</f>
        <v>50000</v>
      </c>
      <c r="F157" s="27">
        <f>E157</f>
        <v>50000</v>
      </c>
      <c r="G157" s="27">
        <f>F157</f>
        <v>50000</v>
      </c>
      <c r="H157" s="26">
        <f t="shared" si="28"/>
        <v>200000</v>
      </c>
      <c r="J157" s="61" t="s">
        <v>201</v>
      </c>
    </row>
    <row r="158" spans="1:10">
      <c r="A158" s="15" t="s">
        <v>132</v>
      </c>
      <c r="B158" s="7" t="s">
        <v>133</v>
      </c>
      <c r="C158" s="27"/>
      <c r="D158" s="27"/>
      <c r="E158" s="27"/>
      <c r="F158" s="27">
        <v>25000</v>
      </c>
      <c r="G158" s="27"/>
      <c r="H158" s="26">
        <f t="shared" si="28"/>
        <v>25000</v>
      </c>
      <c r="J158" s="61" t="s">
        <v>201</v>
      </c>
    </row>
    <row r="159" spans="1:10" s="1" customFormat="1">
      <c r="A159" s="9" t="s">
        <v>208</v>
      </c>
      <c r="B159" s="9"/>
      <c r="C159" s="31">
        <f t="shared" ref="C159:H159" si="29">C41+C67+C87+C112+C138</f>
        <v>35845900</v>
      </c>
      <c r="D159" s="31">
        <f t="shared" si="29"/>
        <v>35354400</v>
      </c>
      <c r="E159" s="31">
        <f t="shared" si="29"/>
        <v>88958995</v>
      </c>
      <c r="F159" s="31">
        <f t="shared" si="29"/>
        <v>38599404.75</v>
      </c>
      <c r="G159" s="31">
        <f t="shared" si="29"/>
        <v>37968549.987499997</v>
      </c>
      <c r="H159" s="31">
        <f t="shared" si="29"/>
        <v>236727249.73750001</v>
      </c>
      <c r="I159" s="97"/>
    </row>
  </sheetData>
  <pageMargins left="0.5" right="0.5" top="0.5" bottom="0.5" header="0.3" footer="0.3"/>
  <pageSetup scale="70" fitToHeight="4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Main Budget</vt:lpstr>
      <vt:lpstr>Budget Categories</vt:lpstr>
      <vt:lpstr>Sources</vt:lpstr>
      <vt:lpstr>FP Template</vt:lpstr>
      <vt:lpstr>JCC &amp; PMU Set-up</vt:lpstr>
      <vt:lpstr>HIA Patrol</vt:lpstr>
      <vt:lpstr>Budget Annex</vt:lpstr>
      <vt:lpstr>'Budget Annex'!Print_Area</vt:lpstr>
      <vt:lpstr>'JCC &amp; PMU Set-up'!Print_Area</vt:lpstr>
      <vt:lpstr>'Main Budget'!Print_Area</vt:lpstr>
      <vt:lpstr>'Budget Annex'!Print_Titles</vt:lpstr>
      <vt:lpstr>'Main Budget'!Print_Titles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Murphy</dc:creator>
  <cp:lastModifiedBy>user</cp:lastModifiedBy>
  <cp:lastPrinted>2017-04-21T15:51:54Z</cp:lastPrinted>
  <dcterms:created xsi:type="dcterms:W3CDTF">2016-06-01T09:19:35Z</dcterms:created>
  <dcterms:modified xsi:type="dcterms:W3CDTF">2017-05-23T15:10:02Z</dcterms:modified>
</cp:coreProperties>
</file>